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480" activeTab="0"/>
  </bookViews>
  <sheets>
    <sheet name="Cascade rekening 2019" sheetId="1" r:id="rId1"/>
  </sheets>
  <definedNames>
    <definedName name="_xlnm.Print_Area" localSheetId="0">'Cascade rekening 2019'!$A$1:$AW$73</definedName>
    <definedName name="_xlnm.Print_Titles" localSheetId="0">'Cascade rekening 2019'!$A:$C,'Cascade rekening 2019'!$1:$2</definedName>
  </definedNames>
  <calcPr fullCalcOnLoad="1"/>
</workbook>
</file>

<file path=xl/comments1.xml><?xml version="1.0" encoding="utf-8"?>
<comments xmlns="http://schemas.openxmlformats.org/spreadsheetml/2006/main">
  <authors>
    <author>Tom Cuvelier</author>
  </authors>
  <commentList>
    <comment ref="X28" authorId="0">
      <text>
        <r>
          <rPr>
            <b/>
            <sz val="9"/>
            <rFont val="Tahoma"/>
            <family val="2"/>
          </rPr>
          <t>Tom Cuvelier:</t>
        </r>
        <r>
          <rPr>
            <sz val="9"/>
            <rFont val="Tahoma"/>
            <family val="2"/>
          </rPr>
          <t xml:space="preserve">
correctie tov budget
</t>
        </r>
      </text>
    </comment>
    <comment ref="O23" authorId="0">
      <text>
        <r>
          <rPr>
            <b/>
            <sz val="9"/>
            <rFont val="Tahoma"/>
            <family val="2"/>
          </rPr>
          <t>Tom Cuvelier:</t>
        </r>
        <r>
          <rPr>
            <sz val="9"/>
            <rFont val="Tahoma"/>
            <family val="2"/>
          </rPr>
          <t xml:space="preserve">
verdelen wedde Christa over HP en TB
</t>
        </r>
      </text>
    </comment>
    <comment ref="L22" authorId="0">
      <text>
        <r>
          <rPr>
            <b/>
            <sz val="9"/>
            <rFont val="Tahoma"/>
            <family val="2"/>
          </rPr>
          <t>Tom Cuvelier:</t>
        </r>
        <r>
          <rPr>
            <sz val="9"/>
            <rFont val="Tahoma"/>
            <family val="2"/>
          </rPr>
          <t xml:space="preserve">
verdeling wedde Carine en Angie naar vrijwilligerswerking
</t>
        </r>
      </text>
    </comment>
    <comment ref="W26" authorId="0">
      <text>
        <r>
          <rPr>
            <b/>
            <sz val="9"/>
            <rFont val="Tahoma"/>
            <family val="2"/>
          </rPr>
          <t>Tom Cuvelier:</t>
        </r>
        <r>
          <rPr>
            <sz val="9"/>
            <rFont val="Tahoma"/>
            <family val="2"/>
          </rPr>
          <t xml:space="preserve">
wedde damiaan 15%  naar callcenter</t>
        </r>
      </text>
    </comment>
    <comment ref="V25" authorId="0">
      <text>
        <r>
          <rPr>
            <b/>
            <sz val="9"/>
            <rFont val="Tahoma"/>
            <family val="2"/>
          </rPr>
          <t>Tom Cuvelier:</t>
        </r>
        <r>
          <rPr>
            <sz val="9"/>
            <rFont val="Tahoma"/>
            <family val="2"/>
          </rPr>
          <t xml:space="preserve">
doorrekenen wedde Rien naar De Spie</t>
        </r>
      </text>
    </comment>
    <comment ref="AP27" authorId="0">
      <text>
        <r>
          <rPr>
            <b/>
            <sz val="9"/>
            <rFont val="Tahoma"/>
            <family val="2"/>
          </rPr>
          <t>Tom Cuvelier:</t>
        </r>
        <r>
          <rPr>
            <sz val="9"/>
            <rFont val="Tahoma"/>
            <family val="2"/>
          </rPr>
          <t xml:space="preserve">
verdelen loonkost Vermeersch en Cornette
en deel recup personeel nachtopvang tot 01/05/2019</t>
        </r>
      </text>
    </comment>
    <comment ref="AT27" authorId="0">
      <text>
        <r>
          <rPr>
            <b/>
            <sz val="9"/>
            <rFont val="Tahoma"/>
            <family val="2"/>
          </rPr>
          <t>Tom Cuvelier:</t>
        </r>
        <r>
          <rPr>
            <sz val="9"/>
            <rFont val="Tahoma"/>
            <family val="2"/>
          </rPr>
          <t xml:space="preserve">
doorrekenen 50% nettoloonkost naar groepswonen</t>
        </r>
      </text>
    </comment>
    <comment ref="I6" authorId="0">
      <text>
        <r>
          <rPr>
            <b/>
            <sz val="9"/>
            <rFont val="Tahoma"/>
            <family val="2"/>
          </rPr>
          <t>Tom Cuvelier:</t>
        </r>
        <r>
          <rPr>
            <sz val="9"/>
            <rFont val="Tahoma"/>
            <family val="2"/>
          </rPr>
          <t xml:space="preserve">
incl Steenakker 14
</t>
        </r>
      </text>
    </comment>
    <comment ref="Q4" authorId="0">
      <text>
        <r>
          <rPr>
            <b/>
            <sz val="9"/>
            <rFont val="Tahoma"/>
            <family val="0"/>
          </rPr>
          <t>Tom Cuvelier:</t>
        </r>
        <r>
          <rPr>
            <sz val="9"/>
            <rFont val="Tahoma"/>
            <family val="0"/>
          </rPr>
          <t xml:space="preserve">
exlcl geproduceerde VA tbw 31085€</t>
        </r>
      </text>
    </comment>
  </commentList>
</comments>
</file>

<file path=xl/sharedStrings.xml><?xml version="1.0" encoding="utf-8"?>
<sst xmlns="http://schemas.openxmlformats.org/spreadsheetml/2006/main" count="227" uniqueCount="190">
  <si>
    <t>TOTAAL</t>
  </si>
  <si>
    <t>Klimop</t>
  </si>
  <si>
    <t>0010-03</t>
  </si>
  <si>
    <t>0030-00</t>
  </si>
  <si>
    <t>0040-00</t>
  </si>
  <si>
    <t>0100-00</t>
  </si>
  <si>
    <t>0110-00</t>
  </si>
  <si>
    <t>0111-00</t>
  </si>
  <si>
    <t>0112-01</t>
  </si>
  <si>
    <t>0119-01</t>
  </si>
  <si>
    <t>0119-02</t>
  </si>
  <si>
    <t>0119-03</t>
  </si>
  <si>
    <t>0119-04</t>
  </si>
  <si>
    <t>0119-05</t>
  </si>
  <si>
    <t>0119-06</t>
  </si>
  <si>
    <t>0119-07</t>
  </si>
  <si>
    <t>0119-08</t>
  </si>
  <si>
    <t>0951-00</t>
  </si>
  <si>
    <t>0930-01</t>
  </si>
  <si>
    <t>0930-02</t>
  </si>
  <si>
    <t>0930-03</t>
  </si>
  <si>
    <t>0930-04</t>
  </si>
  <si>
    <t>0930-05</t>
  </si>
  <si>
    <t>0950-01</t>
  </si>
  <si>
    <t>0950-02</t>
  </si>
  <si>
    <t>0950-03</t>
  </si>
  <si>
    <t>0952-00</t>
  </si>
  <si>
    <t>0953-01</t>
  </si>
  <si>
    <t>0953-02</t>
  </si>
  <si>
    <t>0959-01</t>
  </si>
  <si>
    <t>0959-02</t>
  </si>
  <si>
    <t>0919-01</t>
  </si>
  <si>
    <t>0919-02</t>
  </si>
  <si>
    <t>0919-03</t>
  </si>
  <si>
    <t>0946-00</t>
  </si>
  <si>
    <t>0947-01</t>
  </si>
  <si>
    <t>0948-01</t>
  </si>
  <si>
    <t>0948-02</t>
  </si>
  <si>
    <t>Gem Bijdr</t>
  </si>
  <si>
    <t>Gesco</t>
  </si>
  <si>
    <t>Fin. Aangel</t>
  </si>
  <si>
    <t>Leningen</t>
  </si>
  <si>
    <t>Priv Patr</t>
  </si>
  <si>
    <t>Fin D</t>
  </si>
  <si>
    <t>Pers D</t>
  </si>
  <si>
    <t>Vrijwilliger</t>
  </si>
  <si>
    <t>Tech D</t>
  </si>
  <si>
    <t>Prev &amp; Welz</t>
  </si>
  <si>
    <t>Catering</t>
  </si>
  <si>
    <t>Housekeep</t>
  </si>
  <si>
    <t>CallCenter</t>
  </si>
  <si>
    <t>ICT</t>
  </si>
  <si>
    <t>LDC de Spie</t>
  </si>
  <si>
    <t>Volderspand</t>
  </si>
  <si>
    <t>Ten Kanter</t>
  </si>
  <si>
    <t>Kapittel</t>
  </si>
  <si>
    <t>Koestraat</t>
  </si>
  <si>
    <t>Ten Gaver</t>
  </si>
  <si>
    <t>Godtschalck</t>
  </si>
  <si>
    <t>ter Drapiers</t>
  </si>
  <si>
    <t>WZC HP</t>
  </si>
  <si>
    <t>WZC TB</t>
  </si>
  <si>
    <t>NOV</t>
  </si>
  <si>
    <t>MMC</t>
  </si>
  <si>
    <t>Woonzorgbus</t>
  </si>
  <si>
    <t>Noodoproep</t>
  </si>
  <si>
    <t>Warme maaltijd</t>
  </si>
  <si>
    <t>Techn. Klus</t>
  </si>
  <si>
    <t>PoetsDC</t>
  </si>
  <si>
    <t>StrijkDC</t>
  </si>
  <si>
    <t>Gem Bijdrage</t>
  </si>
  <si>
    <t>Fin . Aangelegenheden</t>
  </si>
  <si>
    <t>Privaat Patrimonium</t>
  </si>
  <si>
    <t>Financiële dienst</t>
  </si>
  <si>
    <t>Personeelsdienst</t>
  </si>
  <si>
    <t>Vrijwilligers</t>
  </si>
  <si>
    <t>Technische Dienst</t>
  </si>
  <si>
    <t>Preventie &amp; Welzijn</t>
  </si>
  <si>
    <t>Housekeeping</t>
  </si>
  <si>
    <t>Callcenter</t>
  </si>
  <si>
    <t>#koppen</t>
  </si>
  <si>
    <t>param1</t>
  </si>
  <si>
    <t>param2</t>
  </si>
  <si>
    <t>param3</t>
  </si>
  <si>
    <t>Molenmeersen</t>
  </si>
  <si>
    <t>0050-00</t>
  </si>
  <si>
    <t>param4</t>
  </si>
  <si>
    <t>aantal fin boekingen</t>
  </si>
  <si>
    <t>param5</t>
  </si>
  <si>
    <t>param6</t>
  </si>
  <si>
    <t>param7</t>
  </si>
  <si>
    <t>%voedingskosten</t>
  </si>
  <si>
    <t>param8</t>
  </si>
  <si>
    <t>param9</t>
  </si>
  <si>
    <t>param10</t>
  </si>
  <si>
    <t>% verdeelsleutel woonzorg</t>
  </si>
  <si>
    <t>param11</t>
  </si>
  <si>
    <t>#agendapunten RvB</t>
  </si>
  <si>
    <t>param12</t>
  </si>
  <si>
    <t>0112-00</t>
  </si>
  <si>
    <t>Int. Wasserij</t>
  </si>
  <si>
    <t>Loket Woonz</t>
  </si>
  <si>
    <t>Beh.Org</t>
  </si>
  <si>
    <t>Alg Admin</t>
  </si>
  <si>
    <t>GW Steenakker14</t>
  </si>
  <si>
    <t>GW St-Jan</t>
  </si>
  <si>
    <t>0959-03</t>
  </si>
  <si>
    <t>0959-04</t>
  </si>
  <si>
    <t>AHV TB</t>
  </si>
  <si>
    <t>param13</t>
  </si>
  <si>
    <t>param14</t>
  </si>
  <si>
    <t>Beheersorganen</t>
  </si>
  <si>
    <t>Mix2-3x33% param 1+2+3</t>
  </si>
  <si>
    <t>Int Wasserij</t>
  </si>
  <si>
    <t>Loket Woonzorg</t>
  </si>
  <si>
    <t>Resultaat na verdeling van voorlopige en hulpkostenplaatsen</t>
  </si>
  <si>
    <t>Afschrijvingen</t>
  </si>
  <si>
    <t>In resultaat genomen kapitaalsubsidies</t>
  </si>
  <si>
    <t>Uitgebreide Cashflow</t>
  </si>
  <si>
    <t>Verplichte bijdrage van de gemeente in de werking</t>
  </si>
  <si>
    <t>Waardeverminderingen</t>
  </si>
  <si>
    <t>Meerwaarden op de realisatie VA</t>
  </si>
  <si>
    <t>Verplichte bijdrage van de gemeente in de aflossingen</t>
  </si>
  <si>
    <t>minus VIPA</t>
  </si>
  <si>
    <t>Aflossingen leningen</t>
  </si>
  <si>
    <t>Berekende gemeentelijke bijdrage</t>
  </si>
  <si>
    <t>Algemene administratie</t>
  </si>
  <si>
    <t>Interne medische dienst</t>
  </si>
  <si>
    <t>Int medi dienst</t>
  </si>
  <si>
    <t>Niet direct</t>
  </si>
  <si>
    <t>toewijsbaar</t>
  </si>
  <si>
    <t>Niet direct toewijsbaar</t>
  </si>
  <si>
    <t>param15</t>
  </si>
  <si>
    <t>param16</t>
  </si>
  <si>
    <t>PIF Gesco</t>
  </si>
  <si>
    <t>#pc's</t>
  </si>
  <si>
    <t>PIF Int medische dienst en Preventie</t>
  </si>
  <si>
    <t>PIF Financiële dienst</t>
  </si>
  <si>
    <t>PIF Loket Woonzorg</t>
  </si>
  <si>
    <t>PIF Algemene administratie</t>
  </si>
  <si>
    <t>#uren technische dienst</t>
  </si>
  <si>
    <t>overboeken naar investeringen</t>
  </si>
  <si>
    <t>% kg-was</t>
  </si>
  <si>
    <t>DEF KP</t>
  </si>
  <si>
    <t>Aflossingen voorlopige en hulpkostenplaatsen voor Cascadeverdeling</t>
  </si>
  <si>
    <t>Verdeling niet direct toewijsbare aflossingen</t>
  </si>
  <si>
    <t>Totaal primaire interne facturatie excl intresten en afschrijvingen</t>
  </si>
  <si>
    <t>Abstractie Leningen</t>
  </si>
  <si>
    <t>IF Intresten</t>
  </si>
  <si>
    <t>Afschrijvingen,  waardeverminderingen , voorzieningen</t>
  </si>
  <si>
    <t>Voorlopig resultaat  na PIF, intresten, AF-WV-VZ, verrekeningen</t>
  </si>
  <si>
    <t>Res na PIF en vóór afschrijvingen, intresten, WV,VZ, verrekeningen... (EBITDA)</t>
  </si>
  <si>
    <t>Res na PIF en intresten maar  vóór afschrijvingen, WV,VZ, kapitaalsubsidies... (EBITDA)</t>
  </si>
  <si>
    <t>Mix3-20% param 1+2+3+4+13 van DKP voor verdelen saldo administratie en niet-toewijsbaar</t>
  </si>
  <si>
    <t>%-#oproepen callcenter</t>
  </si>
  <si>
    <t>%-verdeelsleutel vrijwilligers</t>
  </si>
  <si>
    <t>PIF onder DKP</t>
  </si>
  <si>
    <t>operationele kosten zonder IF en niet-kaskosten</t>
  </si>
  <si>
    <t xml:space="preserve">operationele opbrengsten zonder IF en  niet-kasopbrengsten </t>
  </si>
  <si>
    <t>#ingezet VTE  HK op DKP</t>
  </si>
  <si>
    <t>0010-00</t>
  </si>
  <si>
    <t>Voorlopig resultaat zonder PIF, AF, WV, VR</t>
  </si>
  <si>
    <t>deel loonkost</t>
  </si>
  <si>
    <t>technisch</t>
  </si>
  <si>
    <t>toewijs gescomiddelen</t>
  </si>
  <si>
    <t>Activering geproduceerde vaste activa</t>
  </si>
  <si>
    <t>Basis voor verdeling Cascade VKP en HKP</t>
  </si>
  <si>
    <t>RESULTAAT BOEKJAAR</t>
  </si>
  <si>
    <t>EXPLOITATIEBUDGET</t>
  </si>
  <si>
    <t>naar niet direct toewijsbaar</t>
  </si>
  <si>
    <t xml:space="preserve">opmerkingen </t>
  </si>
  <si>
    <t>volgens parameter 13</t>
  </si>
  <si>
    <t>volgens parameter 1</t>
  </si>
  <si>
    <t>volgens parameter 4</t>
  </si>
  <si>
    <t>volgens parameter 5</t>
  </si>
  <si>
    <t>volgens parameter 6</t>
  </si>
  <si>
    <t>volgens parameter 7</t>
  </si>
  <si>
    <t>volgens parameter 8</t>
  </si>
  <si>
    <t>volgens parameter 12</t>
  </si>
  <si>
    <t>volgens parameter 9</t>
  </si>
  <si>
    <t>volgens parameter 10</t>
  </si>
  <si>
    <t>volgens parameter 14</t>
  </si>
  <si>
    <t>PIF interne wasserij</t>
  </si>
  <si>
    <t>Omschrijving parameter</t>
  </si>
  <si>
    <t>Parameter</t>
  </si>
  <si>
    <t>Mix3x33% param1+2+11</t>
  </si>
  <si>
    <t>AUTOFINANCIERINGSMARGE</t>
  </si>
  <si>
    <t>BEREKENDE  GEMEENTELIJKE BIJDRAGE</t>
  </si>
  <si>
    <t>FINANCIEEL  DRAAGVLAK</t>
  </si>
  <si>
    <t>CASCADE Rekening 2019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</si>
</sst>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%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4ECB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15" borderId="11" xfId="0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4" fontId="0" fillId="6" borderId="11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6" borderId="12" xfId="0" applyNumberFormat="1" applyFill="1" applyBorder="1" applyAlignment="1">
      <alignment/>
    </xf>
    <xf numFmtId="0" fontId="0" fillId="0" borderId="11" xfId="0" applyBorder="1" applyAlignment="1">
      <alignment/>
    </xf>
    <xf numFmtId="4" fontId="0" fillId="34" borderId="11" xfId="0" applyNumberFormat="1" applyFill="1" applyBorder="1" applyAlignment="1">
      <alignment/>
    </xf>
    <xf numFmtId="0" fontId="0" fillId="12" borderId="13" xfId="0" applyFont="1" applyFill="1" applyBorder="1" applyAlignment="1">
      <alignment/>
    </xf>
    <xf numFmtId="0" fontId="0" fillId="12" borderId="13" xfId="0" applyFont="1" applyFill="1" applyBorder="1" applyAlignment="1">
      <alignment/>
    </xf>
    <xf numFmtId="0" fontId="2" fillId="12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0" xfId="0" applyBorder="1" applyAlignment="1">
      <alignment/>
    </xf>
    <xf numFmtId="4" fontId="0" fillId="2" borderId="11" xfId="0" applyNumberFormat="1" applyFill="1" applyBorder="1" applyAlignment="1">
      <alignment/>
    </xf>
    <xf numFmtId="0" fontId="0" fillId="0" borderId="0" xfId="0" applyFont="1" applyAlignment="1">
      <alignment/>
    </xf>
    <xf numFmtId="4" fontId="0" fillId="6" borderId="10" xfId="0" applyNumberForma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35" borderId="0" xfId="0" applyFill="1" applyBorder="1" applyAlignment="1">
      <alignment/>
    </xf>
    <xf numFmtId="0" fontId="0" fillId="1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12" borderId="0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4" fontId="0" fillId="36" borderId="11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0" fontId="0" fillId="0" borderId="14" xfId="0" applyBorder="1" applyAlignment="1">
      <alignment/>
    </xf>
    <xf numFmtId="4" fontId="0" fillId="6" borderId="15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0" fillId="37" borderId="0" xfId="0" applyNumberFormat="1" applyFill="1" applyBorder="1" applyAlignment="1">
      <alignment/>
    </xf>
    <xf numFmtId="4" fontId="0" fillId="6" borderId="13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2" fillId="38" borderId="10" xfId="0" applyNumberFormat="1" applyFont="1" applyFill="1" applyBorder="1" applyAlignment="1">
      <alignment/>
    </xf>
    <xf numFmtId="4" fontId="2" fillId="38" borderId="11" xfId="0" applyNumberFormat="1" applyFont="1" applyFill="1" applyBorder="1" applyAlignment="1">
      <alignment/>
    </xf>
    <xf numFmtId="4" fontId="0" fillId="12" borderId="11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12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9" xfId="0" applyNumberFormat="1" applyBorder="1" applyAlignment="1">
      <alignment/>
    </xf>
    <xf numFmtId="4" fontId="0" fillId="12" borderId="19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4" fontId="0" fillId="34" borderId="15" xfId="0" applyNumberFormat="1" applyFill="1" applyBorder="1" applyAlignment="1">
      <alignment/>
    </xf>
    <xf numFmtId="4" fontId="2" fillId="39" borderId="15" xfId="0" applyNumberFormat="1" applyFont="1" applyFill="1" applyBorder="1" applyAlignment="1">
      <alignment/>
    </xf>
    <xf numFmtId="4" fontId="2" fillId="38" borderId="15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" fontId="0" fillId="36" borderId="14" xfId="0" applyNumberFormat="1" applyFill="1" applyBorder="1" applyAlignment="1">
      <alignment/>
    </xf>
    <xf numFmtId="4" fontId="0" fillId="36" borderId="18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10" fontId="0" fillId="34" borderId="11" xfId="0" applyNumberFormat="1" applyFill="1" applyBorder="1" applyAlignment="1">
      <alignment/>
    </xf>
    <xf numFmtId="10" fontId="0" fillId="34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15" borderId="10" xfId="0" applyNumberFormat="1" applyFill="1" applyBorder="1" applyAlignment="1">
      <alignment/>
    </xf>
    <xf numFmtId="4" fontId="2" fillId="15" borderId="11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12" borderId="21" xfId="0" applyNumberFormat="1" applyFill="1" applyBorder="1" applyAlignment="1">
      <alignment/>
    </xf>
    <xf numFmtId="4" fontId="5" fillId="37" borderId="22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2" fillId="12" borderId="24" xfId="0" applyNumberFormat="1" applyFont="1" applyFill="1" applyBorder="1" applyAlignment="1">
      <alignment/>
    </xf>
    <xf numFmtId="4" fontId="2" fillId="12" borderId="25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15" borderId="15" xfId="0" applyNumberForma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0" fontId="0" fillId="0" borderId="12" xfId="0" applyNumberFormat="1" applyFill="1" applyBorder="1" applyAlignment="1">
      <alignment/>
    </xf>
    <xf numFmtId="4" fontId="41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15" borderId="18" xfId="0" applyFill="1" applyBorder="1" applyAlignment="1">
      <alignment/>
    </xf>
    <xf numFmtId="0" fontId="0" fillId="15" borderId="14" xfId="0" applyFont="1" applyFill="1" applyBorder="1" applyAlignment="1">
      <alignment/>
    </xf>
    <xf numFmtId="4" fontId="2" fillId="19" borderId="24" xfId="0" applyNumberFormat="1" applyFont="1" applyFill="1" applyBorder="1" applyAlignment="1">
      <alignment/>
    </xf>
    <xf numFmtId="49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0" fillId="35" borderId="30" xfId="0" applyFill="1" applyBorder="1" applyAlignment="1" quotePrefix="1">
      <alignment/>
    </xf>
    <xf numFmtId="2" fontId="0" fillId="15" borderId="30" xfId="0" applyNumberFormat="1" applyFill="1" applyBorder="1" applyAlignment="1" quotePrefix="1">
      <alignment/>
    </xf>
    <xf numFmtId="2" fontId="0" fillId="40" borderId="30" xfId="0" applyNumberFormat="1" applyFill="1" applyBorder="1" applyAlignment="1" quotePrefix="1">
      <alignment/>
    </xf>
    <xf numFmtId="2" fontId="0" fillId="15" borderId="31" xfId="0" applyNumberFormat="1" applyFill="1" applyBorder="1" applyAlignment="1" quotePrefix="1">
      <alignment/>
    </xf>
    <xf numFmtId="49" fontId="0" fillId="41" borderId="30" xfId="0" applyNumberFormat="1" applyFill="1" applyBorder="1" applyAlignment="1">
      <alignment horizontal="left"/>
    </xf>
    <xf numFmtId="2" fontId="0" fillId="41" borderId="30" xfId="0" applyNumberFormat="1" applyFill="1" applyBorder="1" applyAlignment="1" quotePrefix="1">
      <alignment/>
    </xf>
    <xf numFmtId="49" fontId="0" fillId="41" borderId="30" xfId="0" applyNumberFormat="1" applyFill="1" applyBorder="1" applyAlignment="1" quotePrefix="1">
      <alignment horizontal="left"/>
    </xf>
    <xf numFmtId="2" fontId="0" fillId="42" borderId="32" xfId="0" applyNumberForma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35" borderId="34" xfId="0" applyFill="1" applyBorder="1" applyAlignment="1">
      <alignment/>
    </xf>
    <xf numFmtId="2" fontId="0" fillId="15" borderId="34" xfId="0" applyNumberFormat="1" applyFill="1" applyBorder="1" applyAlignment="1">
      <alignment/>
    </xf>
    <xf numFmtId="2" fontId="0" fillId="40" borderId="34" xfId="0" applyNumberFormat="1" applyFill="1" applyBorder="1" applyAlignment="1">
      <alignment/>
    </xf>
    <xf numFmtId="2" fontId="0" fillId="15" borderId="35" xfId="0" applyNumberFormat="1" applyFill="1" applyBorder="1" applyAlignment="1">
      <alignment/>
    </xf>
    <xf numFmtId="2" fontId="0" fillId="41" borderId="34" xfId="0" applyNumberFormat="1" applyFill="1" applyBorder="1" applyAlignment="1">
      <alignment/>
    </xf>
    <xf numFmtId="2" fontId="0" fillId="42" borderId="36" xfId="0" applyNumberFormat="1" applyFill="1" applyBorder="1" applyAlignment="1">
      <alignment/>
    </xf>
    <xf numFmtId="0" fontId="2" fillId="19" borderId="37" xfId="0" applyFont="1" applyFill="1" applyBorder="1" applyAlignment="1">
      <alignment/>
    </xf>
    <xf numFmtId="4" fontId="2" fillId="19" borderId="37" xfId="0" applyNumberFormat="1" applyFont="1" applyFill="1" applyBorder="1" applyAlignment="1">
      <alignment/>
    </xf>
    <xf numFmtId="0" fontId="2" fillId="19" borderId="38" xfId="0" applyFont="1" applyFill="1" applyBorder="1" applyAlignment="1">
      <alignment/>
    </xf>
    <xf numFmtId="4" fontId="2" fillId="19" borderId="39" xfId="0" applyNumberFormat="1" applyFont="1" applyFill="1" applyBorder="1" applyAlignment="1">
      <alignment/>
    </xf>
    <xf numFmtId="4" fontId="2" fillId="19" borderId="40" xfId="0" applyNumberFormat="1" applyFont="1" applyFill="1" applyBorder="1" applyAlignment="1">
      <alignment/>
    </xf>
    <xf numFmtId="4" fontId="2" fillId="19" borderId="17" xfId="0" applyNumberFormat="1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3" xfId="0" applyFont="1" applyFill="1" applyBorder="1" applyAlignment="1">
      <alignment/>
    </xf>
    <xf numFmtId="0" fontId="0" fillId="41" borderId="13" xfId="0" applyFont="1" applyFill="1" applyBorder="1" applyAlignment="1">
      <alignment/>
    </xf>
    <xf numFmtId="4" fontId="0" fillId="41" borderId="10" xfId="0" applyNumberFormat="1" applyFill="1" applyBorder="1" applyAlignment="1">
      <alignment/>
    </xf>
    <xf numFmtId="2" fontId="2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91"/>
  <sheetViews>
    <sheetView tabSelected="1" zoomScale="75" zoomScaleNormal="75" zoomScalePageLayoutView="0" workbookViewId="0" topLeftCell="M1">
      <pane ySplit="1" topLeftCell="A28" activePane="bottomLeft" state="frozen"/>
      <selection pane="topLeft" activeCell="AA1" sqref="AA1"/>
      <selection pane="bottomLeft" activeCell="AV68" sqref="AV68:AV70"/>
    </sheetView>
  </sheetViews>
  <sheetFormatPr defaultColWidth="9.140625" defaultRowHeight="12.75"/>
  <cols>
    <col min="2" max="2" width="12.57421875" style="0" bestFit="1" customWidth="1"/>
    <col min="3" max="3" width="96.28125" style="0" customWidth="1"/>
    <col min="4" max="4" width="25.140625" style="0" bestFit="1" customWidth="1"/>
    <col min="5" max="5" width="15.7109375" style="0" bestFit="1" customWidth="1"/>
    <col min="6" max="6" width="13.421875" style="0" customWidth="1"/>
    <col min="7" max="7" width="12.28125" style="0" bestFit="1" customWidth="1"/>
    <col min="8" max="8" width="15.00390625" style="0" bestFit="1" customWidth="1"/>
    <col min="9" max="9" width="14.57421875" style="0" bestFit="1" customWidth="1"/>
    <col min="10" max="10" width="12.8515625" style="2" bestFit="1" customWidth="1"/>
    <col min="11" max="11" width="13.7109375" style="2" bestFit="1" customWidth="1"/>
    <col min="12" max="12" width="14.57421875" style="2" bestFit="1" customWidth="1"/>
    <col min="13" max="13" width="14.28125" style="2" bestFit="1" customWidth="1"/>
    <col min="14" max="14" width="15.00390625" style="2" bestFit="1" customWidth="1"/>
    <col min="15" max="15" width="14.57421875" style="2" bestFit="1" customWidth="1"/>
    <col min="16" max="16" width="12.8515625" style="2" bestFit="1" customWidth="1"/>
    <col min="17" max="17" width="14.57421875" style="2" bestFit="1" customWidth="1"/>
    <col min="18" max="19" width="15.00390625" style="2" bestFit="1" customWidth="1"/>
    <col min="20" max="20" width="13.7109375" style="2" bestFit="1" customWidth="1"/>
    <col min="21" max="21" width="14.57421875" style="2" bestFit="1" customWidth="1"/>
    <col min="22" max="22" width="13.7109375" style="2" bestFit="1" customWidth="1"/>
    <col min="23" max="23" width="15.00390625" style="2" bestFit="1" customWidth="1"/>
    <col min="24" max="24" width="12.140625" style="2" bestFit="1" customWidth="1"/>
    <col min="25" max="25" width="13.28125" style="2" bestFit="1" customWidth="1"/>
    <col min="26" max="26" width="13.421875" style="2" bestFit="1" customWidth="1"/>
    <col min="27" max="27" width="13.7109375" style="2" bestFit="1" customWidth="1"/>
    <col min="28" max="28" width="12.57421875" style="2" bestFit="1" customWidth="1"/>
    <col min="29" max="29" width="13.7109375" style="2" bestFit="1" customWidth="1"/>
    <col min="30" max="30" width="13.28125" style="2" bestFit="1" customWidth="1"/>
    <col min="31" max="31" width="13.140625" style="2" bestFit="1" customWidth="1"/>
    <col min="32" max="32" width="13.28125" style="2" bestFit="1" customWidth="1"/>
    <col min="33" max="33" width="14.421875" style="2" bestFit="1" customWidth="1"/>
    <col min="34" max="34" width="12.8515625" style="2" bestFit="1" customWidth="1"/>
    <col min="35" max="35" width="13.8515625" style="2" bestFit="1" customWidth="1"/>
    <col min="36" max="37" width="13.28125" style="2" bestFit="1" customWidth="1"/>
    <col min="38" max="38" width="14.57421875" style="2" customWidth="1"/>
    <col min="39" max="39" width="14.28125" style="2" bestFit="1" customWidth="1"/>
    <col min="40" max="40" width="14.57421875" style="2" bestFit="1" customWidth="1"/>
    <col min="41" max="41" width="13.7109375" style="2" bestFit="1" customWidth="1"/>
    <col min="42" max="42" width="15.421875" style="2" bestFit="1" customWidth="1"/>
    <col min="43" max="44" width="14.57421875" style="2" bestFit="1" customWidth="1"/>
    <col min="45" max="45" width="17.140625" style="2" bestFit="1" customWidth="1"/>
    <col min="46" max="46" width="14.57421875" style="2" bestFit="1" customWidth="1"/>
    <col min="47" max="47" width="13.7109375" style="2" bestFit="1" customWidth="1"/>
    <col min="48" max="48" width="16.8515625" style="2" bestFit="1" customWidth="1"/>
    <col min="49" max="49" width="46.00390625" style="0" bestFit="1" customWidth="1"/>
  </cols>
  <sheetData>
    <row r="1" spans="2:49" ht="18.75" customHeight="1">
      <c r="B1" s="106"/>
      <c r="C1" s="107" t="s">
        <v>189</v>
      </c>
      <c r="D1" s="107"/>
      <c r="E1" s="108" t="s">
        <v>160</v>
      </c>
      <c r="F1" s="108" t="s">
        <v>2</v>
      </c>
      <c r="G1" s="108" t="s">
        <v>3</v>
      </c>
      <c r="H1" s="108" t="s">
        <v>4</v>
      </c>
      <c r="I1" s="108" t="s">
        <v>85</v>
      </c>
      <c r="J1" s="109" t="s">
        <v>5</v>
      </c>
      <c r="K1" s="109" t="s">
        <v>14</v>
      </c>
      <c r="L1" s="110" t="s">
        <v>10</v>
      </c>
      <c r="M1" s="110" t="s">
        <v>10</v>
      </c>
      <c r="N1" s="109" t="s">
        <v>99</v>
      </c>
      <c r="O1" s="109" t="s">
        <v>7</v>
      </c>
      <c r="P1" s="109" t="s">
        <v>8</v>
      </c>
      <c r="Q1" s="109" t="s">
        <v>9</v>
      </c>
      <c r="R1" s="109" t="s">
        <v>11</v>
      </c>
      <c r="S1" s="109" t="s">
        <v>12</v>
      </c>
      <c r="T1" s="111" t="s">
        <v>13</v>
      </c>
      <c r="U1" s="111" t="s">
        <v>15</v>
      </c>
      <c r="V1" s="109" t="s">
        <v>16</v>
      </c>
      <c r="W1" s="109" t="s">
        <v>6</v>
      </c>
      <c r="X1" s="109" t="s">
        <v>129</v>
      </c>
      <c r="Y1" s="112" t="s">
        <v>31</v>
      </c>
      <c r="Z1" s="112" t="s">
        <v>32</v>
      </c>
      <c r="AA1" s="112" t="s">
        <v>33</v>
      </c>
      <c r="AB1" s="113" t="s">
        <v>18</v>
      </c>
      <c r="AC1" s="113" t="s">
        <v>19</v>
      </c>
      <c r="AD1" s="113" t="s">
        <v>20</v>
      </c>
      <c r="AE1" s="113" t="s">
        <v>21</v>
      </c>
      <c r="AF1" s="113" t="s">
        <v>22</v>
      </c>
      <c r="AG1" s="112" t="s">
        <v>34</v>
      </c>
      <c r="AH1" s="112" t="s">
        <v>35</v>
      </c>
      <c r="AI1" s="112" t="s">
        <v>36</v>
      </c>
      <c r="AJ1" s="112" t="s">
        <v>37</v>
      </c>
      <c r="AK1" s="113" t="s">
        <v>23</v>
      </c>
      <c r="AL1" s="113" t="s">
        <v>24</v>
      </c>
      <c r="AM1" s="113" t="s">
        <v>25</v>
      </c>
      <c r="AN1" s="113" t="s">
        <v>17</v>
      </c>
      <c r="AO1" s="114" t="s">
        <v>26</v>
      </c>
      <c r="AP1" s="114" t="s">
        <v>27</v>
      </c>
      <c r="AQ1" s="112" t="s">
        <v>28</v>
      </c>
      <c r="AR1" s="112" t="s">
        <v>29</v>
      </c>
      <c r="AS1" s="113" t="s">
        <v>30</v>
      </c>
      <c r="AT1" s="112" t="s">
        <v>106</v>
      </c>
      <c r="AU1" s="112" t="s">
        <v>107</v>
      </c>
      <c r="AV1" s="115" t="s">
        <v>0</v>
      </c>
      <c r="AW1" s="104" t="s">
        <v>0</v>
      </c>
    </row>
    <row r="2" spans="2:49" ht="18.75" customHeight="1" thickBot="1">
      <c r="B2" s="116" t="s">
        <v>184</v>
      </c>
      <c r="C2" s="117" t="s">
        <v>183</v>
      </c>
      <c r="D2" s="118" t="s">
        <v>170</v>
      </c>
      <c r="E2" s="119" t="s">
        <v>38</v>
      </c>
      <c r="F2" s="119" t="s">
        <v>39</v>
      </c>
      <c r="G2" s="119" t="s">
        <v>40</v>
      </c>
      <c r="H2" s="119" t="s">
        <v>41</v>
      </c>
      <c r="I2" s="119" t="s">
        <v>42</v>
      </c>
      <c r="J2" s="120" t="s">
        <v>102</v>
      </c>
      <c r="K2" s="120" t="s">
        <v>51</v>
      </c>
      <c r="L2" s="121" t="s">
        <v>128</v>
      </c>
      <c r="M2" s="121" t="s">
        <v>47</v>
      </c>
      <c r="N2" s="120" t="s">
        <v>44</v>
      </c>
      <c r="O2" s="120" t="s">
        <v>43</v>
      </c>
      <c r="P2" s="120" t="s">
        <v>45</v>
      </c>
      <c r="Q2" s="120" t="s">
        <v>46</v>
      </c>
      <c r="R2" s="120" t="s">
        <v>48</v>
      </c>
      <c r="S2" s="120" t="s">
        <v>49</v>
      </c>
      <c r="T2" s="122" t="s">
        <v>50</v>
      </c>
      <c r="U2" s="122" t="s">
        <v>100</v>
      </c>
      <c r="V2" s="120" t="s">
        <v>101</v>
      </c>
      <c r="W2" s="120" t="s">
        <v>103</v>
      </c>
      <c r="X2" s="120" t="s">
        <v>130</v>
      </c>
      <c r="Y2" s="123" t="s">
        <v>63</v>
      </c>
      <c r="Z2" s="123" t="s">
        <v>64</v>
      </c>
      <c r="AA2" s="123" t="s">
        <v>65</v>
      </c>
      <c r="AB2" s="123" t="s">
        <v>1</v>
      </c>
      <c r="AC2" s="123" t="s">
        <v>53</v>
      </c>
      <c r="AD2" s="123" t="s">
        <v>54</v>
      </c>
      <c r="AE2" s="123" t="s">
        <v>55</v>
      </c>
      <c r="AF2" s="123" t="s">
        <v>56</v>
      </c>
      <c r="AG2" s="123" t="s">
        <v>66</v>
      </c>
      <c r="AH2" s="123" t="s">
        <v>67</v>
      </c>
      <c r="AI2" s="123" t="s">
        <v>68</v>
      </c>
      <c r="AJ2" s="123" t="s">
        <v>69</v>
      </c>
      <c r="AK2" s="123" t="s">
        <v>57</v>
      </c>
      <c r="AL2" s="123" t="s">
        <v>58</v>
      </c>
      <c r="AM2" s="123" t="s">
        <v>84</v>
      </c>
      <c r="AN2" s="123" t="s">
        <v>52</v>
      </c>
      <c r="AO2" s="123" t="s">
        <v>59</v>
      </c>
      <c r="AP2" s="123" t="s">
        <v>60</v>
      </c>
      <c r="AQ2" s="123" t="s">
        <v>61</v>
      </c>
      <c r="AR2" s="123" t="s">
        <v>105</v>
      </c>
      <c r="AS2" s="123" t="s">
        <v>104</v>
      </c>
      <c r="AT2" s="123" t="s">
        <v>62</v>
      </c>
      <c r="AU2" s="123" t="s">
        <v>108</v>
      </c>
      <c r="AV2" s="124"/>
      <c r="AW2" s="105" t="s">
        <v>143</v>
      </c>
    </row>
    <row r="3" spans="2:49" ht="18.75" customHeight="1">
      <c r="B3" t="s">
        <v>81</v>
      </c>
      <c r="C3" s="131" t="s">
        <v>80</v>
      </c>
      <c r="D3" s="1"/>
      <c r="E3" s="7"/>
      <c r="F3" s="7"/>
      <c r="G3" s="7"/>
      <c r="H3" s="7"/>
      <c r="I3" s="7"/>
      <c r="J3" s="8"/>
      <c r="K3" s="8">
        <v>1</v>
      </c>
      <c r="L3" s="10">
        <v>2</v>
      </c>
      <c r="M3" s="8">
        <v>1</v>
      </c>
      <c r="N3" s="8">
        <v>1</v>
      </c>
      <c r="O3" s="8">
        <v>1</v>
      </c>
      <c r="P3" s="8"/>
      <c r="Q3" s="8">
        <v>7</v>
      </c>
      <c r="R3" s="8">
        <v>30</v>
      </c>
      <c r="S3" s="8">
        <v>47</v>
      </c>
      <c r="T3" s="8">
        <v>5</v>
      </c>
      <c r="U3" s="8">
        <v>7</v>
      </c>
      <c r="V3" s="8">
        <v>6</v>
      </c>
      <c r="W3" s="8">
        <v>2</v>
      </c>
      <c r="X3" s="8"/>
      <c r="Y3" s="79"/>
      <c r="Z3" s="79"/>
      <c r="AA3" s="79"/>
      <c r="AB3" s="79"/>
      <c r="AC3" s="79"/>
      <c r="AD3" s="79"/>
      <c r="AE3" s="79"/>
      <c r="AF3" s="79"/>
      <c r="AG3" s="79">
        <v>5</v>
      </c>
      <c r="AH3" s="79"/>
      <c r="AI3" s="79">
        <v>19</v>
      </c>
      <c r="AJ3" s="79">
        <v>1</v>
      </c>
      <c r="AK3" s="79"/>
      <c r="AL3" s="79"/>
      <c r="AM3" s="79"/>
      <c r="AN3" s="79">
        <v>2</v>
      </c>
      <c r="AO3" s="79"/>
      <c r="AP3" s="79">
        <v>80</v>
      </c>
      <c r="AQ3" s="79">
        <v>62</v>
      </c>
      <c r="AR3" s="79">
        <v>2</v>
      </c>
      <c r="AS3" s="79"/>
      <c r="AT3" s="79">
        <v>5</v>
      </c>
      <c r="AU3" s="79">
        <v>0</v>
      </c>
      <c r="AV3" s="30">
        <f aca="true" t="shared" si="0" ref="AV3:AV18">SUM(E3:AU3)</f>
        <v>286</v>
      </c>
      <c r="AW3" s="30">
        <f>SUM(Y3:AU3)</f>
        <v>176</v>
      </c>
    </row>
    <row r="4" spans="2:49" ht="18.75" customHeight="1">
      <c r="B4" t="s">
        <v>82</v>
      </c>
      <c r="C4" s="83" t="s">
        <v>158</v>
      </c>
      <c r="D4" s="1"/>
      <c r="E4" s="10">
        <v>1300000</v>
      </c>
      <c r="F4" s="10">
        <v>531089.28</v>
      </c>
      <c r="G4" s="10">
        <v>96.45</v>
      </c>
      <c r="H4" s="10"/>
      <c r="I4" s="10">
        <v>98542.39</v>
      </c>
      <c r="J4" s="10">
        <v>0</v>
      </c>
      <c r="K4" s="10">
        <v>227.81</v>
      </c>
      <c r="L4" s="10">
        <v>6995.37</v>
      </c>
      <c r="M4" s="10">
        <v>46489.49</v>
      </c>
      <c r="N4" s="10">
        <v>15464.16</v>
      </c>
      <c r="O4" s="10">
        <v>24899.62</v>
      </c>
      <c r="P4" s="10">
        <v>5567.22</v>
      </c>
      <c r="Q4" s="10">
        <v>190060.7</v>
      </c>
      <c r="R4" s="10">
        <v>171836.21</v>
      </c>
      <c r="S4" s="10">
        <v>166893.98</v>
      </c>
      <c r="T4" s="18">
        <v>120462.88</v>
      </c>
      <c r="U4" s="18">
        <v>101280.94</v>
      </c>
      <c r="V4" s="10">
        <v>140029.01</v>
      </c>
      <c r="W4" s="10">
        <v>39035.94</v>
      </c>
      <c r="X4" s="10"/>
      <c r="Y4" s="4">
        <v>4238</v>
      </c>
      <c r="Z4" s="4">
        <v>1262.5</v>
      </c>
      <c r="AA4" s="4">
        <v>100</v>
      </c>
      <c r="AB4" s="4">
        <v>52701.21</v>
      </c>
      <c r="AC4" s="4">
        <v>72320.96</v>
      </c>
      <c r="AD4" s="4">
        <v>83672.22</v>
      </c>
      <c r="AE4" s="4">
        <v>187245.92</v>
      </c>
      <c r="AF4" s="4">
        <v>21600</v>
      </c>
      <c r="AG4" s="4">
        <v>444257.03</v>
      </c>
      <c r="AH4" s="4">
        <v>7525.91</v>
      </c>
      <c r="AI4" s="4">
        <v>302014.95</v>
      </c>
      <c r="AJ4" s="4">
        <v>26961.3</v>
      </c>
      <c r="AK4" s="4">
        <v>52140.25</v>
      </c>
      <c r="AL4" s="4">
        <v>82093.48</v>
      </c>
      <c r="AM4" s="4">
        <v>144873.58</v>
      </c>
      <c r="AN4" s="4">
        <v>92150.09</v>
      </c>
      <c r="AO4" s="4">
        <v>161053.9</v>
      </c>
      <c r="AP4" s="4">
        <v>5604058</v>
      </c>
      <c r="AQ4" s="4">
        <v>4149108.13</v>
      </c>
      <c r="AR4" s="4">
        <v>155782.26</v>
      </c>
      <c r="AS4" s="4">
        <v>0</v>
      </c>
      <c r="AT4" s="4">
        <v>147603.91</v>
      </c>
      <c r="AU4" s="4">
        <v>130997.9</v>
      </c>
      <c r="AV4" s="135">
        <f t="shared" si="0"/>
        <v>14882732.95</v>
      </c>
      <c r="AW4" s="4">
        <f aca="true" t="shared" si="1" ref="AW4:AW18">SUM(Y4:AU4)</f>
        <v>11923761.5</v>
      </c>
    </row>
    <row r="5" spans="2:49" ht="18.75" customHeight="1">
      <c r="B5" t="s">
        <v>83</v>
      </c>
      <c r="C5" s="83" t="s">
        <v>157</v>
      </c>
      <c r="D5" s="1"/>
      <c r="E5" s="10">
        <v>0</v>
      </c>
      <c r="F5" s="10">
        <v>0</v>
      </c>
      <c r="G5" s="10">
        <v>999.82</v>
      </c>
      <c r="H5" s="10">
        <v>439444.73</v>
      </c>
      <c r="I5" s="10">
        <v>118460.92</v>
      </c>
      <c r="J5" s="10">
        <v>13180.23</v>
      </c>
      <c r="K5" s="10">
        <v>57708.41</v>
      </c>
      <c r="L5" s="10">
        <v>45220.58</v>
      </c>
      <c r="M5" s="10">
        <v>115859.89</v>
      </c>
      <c r="N5" s="10">
        <v>264593.26</v>
      </c>
      <c r="O5" s="10">
        <v>243834.08</v>
      </c>
      <c r="P5" s="10">
        <v>5891.85</v>
      </c>
      <c r="Q5" s="10">
        <v>453066.46</v>
      </c>
      <c r="R5" s="10">
        <v>952715.2</v>
      </c>
      <c r="S5" s="10">
        <v>1037984.6</v>
      </c>
      <c r="T5" s="18">
        <v>128026.98</v>
      </c>
      <c r="U5" s="18">
        <v>276417.51</v>
      </c>
      <c r="V5" s="10">
        <v>237852.87</v>
      </c>
      <c r="W5" s="10">
        <v>491510.21</v>
      </c>
      <c r="X5" s="10"/>
      <c r="Y5" s="4">
        <v>6100.3</v>
      </c>
      <c r="Z5" s="4">
        <v>7315.76</v>
      </c>
      <c r="AA5" s="4">
        <v>230.62</v>
      </c>
      <c r="AB5" s="4">
        <v>19423.5</v>
      </c>
      <c r="AC5" s="4">
        <v>20904.38</v>
      </c>
      <c r="AD5" s="4">
        <v>12741.56</v>
      </c>
      <c r="AE5" s="4">
        <v>15888.87</v>
      </c>
      <c r="AF5" s="4">
        <v>1330.66</v>
      </c>
      <c r="AG5" s="4">
        <v>285091.43</v>
      </c>
      <c r="AH5" s="4">
        <v>3005.88</v>
      </c>
      <c r="AI5" s="4">
        <v>340664.17</v>
      </c>
      <c r="AJ5" s="4">
        <v>40933.69</v>
      </c>
      <c r="AK5" s="4">
        <v>15587.66</v>
      </c>
      <c r="AL5" s="4">
        <v>7180.39</v>
      </c>
      <c r="AM5" s="4">
        <v>17385.03</v>
      </c>
      <c r="AN5" s="4">
        <v>116567.76</v>
      </c>
      <c r="AO5" s="4">
        <v>199023.32</v>
      </c>
      <c r="AP5" s="4">
        <v>4632180.82</v>
      </c>
      <c r="AQ5" s="4">
        <v>3354471.29</v>
      </c>
      <c r="AR5" s="4">
        <v>93507.26</v>
      </c>
      <c r="AS5" s="4">
        <v>702.37</v>
      </c>
      <c r="AT5" s="4">
        <v>239527.85</v>
      </c>
      <c r="AU5" s="4">
        <v>32064.28</v>
      </c>
      <c r="AV5" s="135">
        <f t="shared" si="0"/>
        <v>14344596.449999996</v>
      </c>
      <c r="AW5" s="4">
        <f t="shared" si="1"/>
        <v>9461828.849999998</v>
      </c>
    </row>
    <row r="6" spans="2:49" ht="18.75" customHeight="1">
      <c r="B6" t="s">
        <v>86</v>
      </c>
      <c r="C6" s="131" t="s">
        <v>87</v>
      </c>
      <c r="D6" s="1"/>
      <c r="E6" s="82"/>
      <c r="F6" s="82">
        <v>0.0001</v>
      </c>
      <c r="G6" s="82">
        <v>0.0011</v>
      </c>
      <c r="H6" s="82"/>
      <c r="I6" s="82">
        <v>0.0154</v>
      </c>
      <c r="J6" s="82">
        <v>0.0007</v>
      </c>
      <c r="K6" s="82">
        <v>0.0086</v>
      </c>
      <c r="L6" s="82">
        <v>0.0076</v>
      </c>
      <c r="M6" s="82">
        <v>0.0076</v>
      </c>
      <c r="N6" s="82">
        <v>0.0082</v>
      </c>
      <c r="O6" s="82">
        <v>0.0078</v>
      </c>
      <c r="P6" s="82">
        <v>0.0015</v>
      </c>
      <c r="Q6" s="82">
        <v>0.0245</v>
      </c>
      <c r="R6" s="82">
        <v>0.0242</v>
      </c>
      <c r="S6" s="82">
        <v>0.0255</v>
      </c>
      <c r="T6" s="81">
        <v>0.0106</v>
      </c>
      <c r="U6" s="81">
        <v>0.0211</v>
      </c>
      <c r="V6" s="82">
        <v>0.0137</v>
      </c>
      <c r="W6" s="82">
        <f>(3.86+0.47-0.03)%</f>
        <v>0.043</v>
      </c>
      <c r="X6" s="82"/>
      <c r="Y6" s="80">
        <v>0.0059</v>
      </c>
      <c r="Z6" s="80">
        <v>0.0031</v>
      </c>
      <c r="AA6" s="80">
        <v>0.0005</v>
      </c>
      <c r="AB6" s="80">
        <v>0.0059</v>
      </c>
      <c r="AC6" s="80">
        <v>0.0067</v>
      </c>
      <c r="AD6" s="80">
        <v>0.0079</v>
      </c>
      <c r="AE6" s="80">
        <v>0.011</v>
      </c>
      <c r="AF6" s="80">
        <v>0.0013</v>
      </c>
      <c r="AG6" s="80">
        <v>0.0612</v>
      </c>
      <c r="AH6" s="80">
        <v>0.0194</v>
      </c>
      <c r="AI6" s="80">
        <v>0.0206</v>
      </c>
      <c r="AJ6" s="80">
        <v>0.009</v>
      </c>
      <c r="AK6" s="80">
        <v>0.0086</v>
      </c>
      <c r="AL6" s="80">
        <v>0.0083</v>
      </c>
      <c r="AM6" s="80">
        <v>0.009</v>
      </c>
      <c r="AN6" s="80">
        <v>0.0222</v>
      </c>
      <c r="AO6" s="80">
        <v>0.0234</v>
      </c>
      <c r="AP6" s="80">
        <v>0.2858</v>
      </c>
      <c r="AQ6" s="80">
        <v>0.2247</v>
      </c>
      <c r="AR6" s="80">
        <v>0.0167</v>
      </c>
      <c r="AS6" s="80">
        <v>0.0006</v>
      </c>
      <c r="AT6" s="80">
        <v>0.0183</v>
      </c>
      <c r="AU6" s="80">
        <v>0.0087</v>
      </c>
      <c r="AV6" s="84">
        <f t="shared" si="0"/>
        <v>1</v>
      </c>
      <c r="AW6" s="80">
        <f t="shared" si="1"/>
        <v>0.7788000000000002</v>
      </c>
    </row>
    <row r="7" spans="2:49" ht="18.75" customHeight="1">
      <c r="B7" t="s">
        <v>88</v>
      </c>
      <c r="C7" s="131" t="s">
        <v>142</v>
      </c>
      <c r="D7" s="1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>
        <v>0.0084</v>
      </c>
      <c r="R7" s="82"/>
      <c r="S7" s="82">
        <v>0.0416</v>
      </c>
      <c r="T7" s="81"/>
      <c r="U7" s="81"/>
      <c r="V7" s="82">
        <v>0.0047</v>
      </c>
      <c r="W7" s="82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>
        <v>0.0006</v>
      </c>
      <c r="AO7" s="80">
        <v>0.0078</v>
      </c>
      <c r="AP7" s="80">
        <v>0.5566</v>
      </c>
      <c r="AQ7" s="80">
        <v>0.3803</v>
      </c>
      <c r="AR7" s="80"/>
      <c r="AS7" s="80"/>
      <c r="AT7" s="80"/>
      <c r="AU7" s="80"/>
      <c r="AV7" s="84">
        <f t="shared" si="0"/>
        <v>1</v>
      </c>
      <c r="AW7" s="80">
        <f t="shared" si="1"/>
        <v>0.9453</v>
      </c>
    </row>
    <row r="8" spans="2:49" ht="18.75" customHeight="1">
      <c r="B8" t="s">
        <v>89</v>
      </c>
      <c r="C8" s="132" t="s">
        <v>140</v>
      </c>
      <c r="D8" s="1"/>
      <c r="E8" s="82"/>
      <c r="F8" s="82"/>
      <c r="G8" s="82"/>
      <c r="H8" s="82"/>
      <c r="I8" s="82">
        <v>0.1897</v>
      </c>
      <c r="J8" s="82">
        <v>0.0026</v>
      </c>
      <c r="K8" s="82">
        <v>0.0015</v>
      </c>
      <c r="L8" s="82"/>
      <c r="M8" s="82">
        <v>0.0104</v>
      </c>
      <c r="N8" s="82">
        <v>0.01</v>
      </c>
      <c r="O8" s="82">
        <v>0.0002</v>
      </c>
      <c r="P8" s="82">
        <v>0.0001</v>
      </c>
      <c r="Q8" s="82"/>
      <c r="R8" s="82">
        <v>0.0226</v>
      </c>
      <c r="S8" s="82">
        <v>0.0028</v>
      </c>
      <c r="T8" s="81">
        <v>0.0031</v>
      </c>
      <c r="U8" s="81">
        <v>0.0076</v>
      </c>
      <c r="V8" s="82">
        <v>0.0252</v>
      </c>
      <c r="W8" s="82">
        <v>0.0371</v>
      </c>
      <c r="X8" s="82"/>
      <c r="Y8" s="80"/>
      <c r="Z8" s="80">
        <v>0.0007</v>
      </c>
      <c r="AA8" s="80">
        <v>0.0009</v>
      </c>
      <c r="AB8" s="80">
        <v>0.0108</v>
      </c>
      <c r="AC8" s="80">
        <v>0.0123</v>
      </c>
      <c r="AD8" s="80">
        <v>0.0125</v>
      </c>
      <c r="AE8" s="80">
        <v>0.0171</v>
      </c>
      <c r="AF8" s="80">
        <v>0.0001</v>
      </c>
      <c r="AG8" s="80">
        <v>0.0005</v>
      </c>
      <c r="AH8" s="80">
        <v>0.0514</v>
      </c>
      <c r="AI8" s="80"/>
      <c r="AJ8" s="80">
        <v>0.0038</v>
      </c>
      <c r="AK8" s="80">
        <v>0.0977</v>
      </c>
      <c r="AL8" s="80"/>
      <c r="AM8" s="80">
        <v>0.0248</v>
      </c>
      <c r="AN8" s="80">
        <v>0.0124</v>
      </c>
      <c r="AO8" s="80">
        <v>0.1965</v>
      </c>
      <c r="AP8" s="80">
        <v>0.1223</v>
      </c>
      <c r="AQ8" s="80">
        <v>0.1158</v>
      </c>
      <c r="AR8" s="80">
        <v>0</v>
      </c>
      <c r="AS8" s="80">
        <v>0.0008</v>
      </c>
      <c r="AT8" s="80">
        <v>0.0067</v>
      </c>
      <c r="AU8" s="80"/>
      <c r="AV8" s="84">
        <f t="shared" si="0"/>
        <v>1</v>
      </c>
      <c r="AW8" s="80">
        <f t="shared" si="1"/>
        <v>0.6871</v>
      </c>
    </row>
    <row r="9" spans="2:49" ht="18.75" customHeight="1">
      <c r="B9" t="s">
        <v>90</v>
      </c>
      <c r="C9" s="131" t="s">
        <v>91</v>
      </c>
      <c r="D9" s="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1"/>
      <c r="U9" s="81">
        <v>0.0021</v>
      </c>
      <c r="V9" s="82">
        <v>0.0014</v>
      </c>
      <c r="W9" s="82">
        <v>0.0241</v>
      </c>
      <c r="X9" s="82"/>
      <c r="Y9" s="80"/>
      <c r="Z9" s="80"/>
      <c r="AA9" s="80"/>
      <c r="AB9" s="80"/>
      <c r="AC9" s="80"/>
      <c r="AD9" s="80"/>
      <c r="AE9" s="80"/>
      <c r="AF9" s="80"/>
      <c r="AG9" s="80">
        <v>0.2201</v>
      </c>
      <c r="AH9" s="80"/>
      <c r="AI9" s="80"/>
      <c r="AJ9" s="80"/>
      <c r="AK9" s="80"/>
      <c r="AL9" s="80"/>
      <c r="AM9" s="80"/>
      <c r="AN9" s="80">
        <v>0.0029</v>
      </c>
      <c r="AO9" s="80"/>
      <c r="AP9" s="80">
        <v>0.4129</v>
      </c>
      <c r="AQ9" s="80">
        <v>0.292</v>
      </c>
      <c r="AR9" s="80">
        <v>0.0015</v>
      </c>
      <c r="AS9" s="80"/>
      <c r="AT9" s="80">
        <v>0.0322</v>
      </c>
      <c r="AU9" s="80">
        <v>0.0108</v>
      </c>
      <c r="AV9" s="84">
        <f t="shared" si="0"/>
        <v>1</v>
      </c>
      <c r="AW9" s="80">
        <f t="shared" si="1"/>
        <v>0.9723999999999999</v>
      </c>
    </row>
    <row r="10" spans="2:49" ht="18.75" customHeight="1">
      <c r="B10" t="s">
        <v>92</v>
      </c>
      <c r="C10" s="131" t="s">
        <v>159</v>
      </c>
      <c r="D10" s="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8"/>
      <c r="U10" s="18"/>
      <c r="V10" s="10"/>
      <c r="W10" s="10"/>
      <c r="X10" s="10"/>
      <c r="Y10" s="4"/>
      <c r="Z10" s="4"/>
      <c r="AA10" s="4"/>
      <c r="AB10" s="4"/>
      <c r="AC10" s="4">
        <v>0.08</v>
      </c>
      <c r="AD10" s="4">
        <v>0.12</v>
      </c>
      <c r="AE10" s="4"/>
      <c r="AF10" s="4"/>
      <c r="AG10" s="4"/>
      <c r="AH10" s="4"/>
      <c r="AI10" s="4"/>
      <c r="AJ10" s="4"/>
      <c r="AK10" s="4">
        <v>0.12</v>
      </c>
      <c r="AL10" s="4"/>
      <c r="AM10" s="4"/>
      <c r="AN10" s="4">
        <v>0.25</v>
      </c>
      <c r="AO10" s="4">
        <v>0.12</v>
      </c>
      <c r="AP10" s="4">
        <v>9.2</v>
      </c>
      <c r="AQ10" s="4">
        <v>8.05</v>
      </c>
      <c r="AR10" s="4">
        <v>0.26</v>
      </c>
      <c r="AS10" s="4"/>
      <c r="AT10" s="4">
        <v>0.48</v>
      </c>
      <c r="AU10" s="4"/>
      <c r="AV10" s="79">
        <f t="shared" si="0"/>
        <v>18.68</v>
      </c>
      <c r="AW10" s="4">
        <f t="shared" si="1"/>
        <v>18.68</v>
      </c>
    </row>
    <row r="11" spans="2:49" ht="18.75" customHeight="1">
      <c r="B11" t="s">
        <v>93</v>
      </c>
      <c r="C11" s="132" t="s">
        <v>154</v>
      </c>
      <c r="D11" s="1"/>
      <c r="E11" s="82"/>
      <c r="F11" s="82"/>
      <c r="G11" s="82"/>
      <c r="H11" s="82"/>
      <c r="I11" s="82"/>
      <c r="J11" s="82"/>
      <c r="K11" s="82">
        <v>0.0093</v>
      </c>
      <c r="L11" s="82">
        <v>0.0042</v>
      </c>
      <c r="M11" s="82">
        <v>0.0043</v>
      </c>
      <c r="N11" s="82">
        <v>0.0322</v>
      </c>
      <c r="O11" s="82">
        <v>0.0215</v>
      </c>
      <c r="P11" s="82"/>
      <c r="Q11" s="82">
        <v>0.0137</v>
      </c>
      <c r="R11" s="82"/>
      <c r="S11" s="82"/>
      <c r="T11" s="81"/>
      <c r="U11" s="81"/>
      <c r="V11" s="82">
        <v>0.1807</v>
      </c>
      <c r="W11" s="82">
        <v>0.2091</v>
      </c>
      <c r="X11" s="82"/>
      <c r="Y11" s="80">
        <v>0.2215</v>
      </c>
      <c r="Z11" s="80"/>
      <c r="AA11" s="80"/>
      <c r="AB11" s="80"/>
      <c r="AC11" s="80"/>
      <c r="AD11" s="80"/>
      <c r="AE11" s="80"/>
      <c r="AF11" s="80"/>
      <c r="AG11" s="80">
        <v>0.2248</v>
      </c>
      <c r="AH11" s="80">
        <v>0.0183</v>
      </c>
      <c r="AI11" s="80"/>
      <c r="AJ11" s="80">
        <v>0.0407</v>
      </c>
      <c r="AK11" s="80"/>
      <c r="AL11" s="80"/>
      <c r="AM11" s="80"/>
      <c r="AN11" s="80"/>
      <c r="AO11" s="80"/>
      <c r="AP11" s="80">
        <v>0.016</v>
      </c>
      <c r="AQ11" s="80">
        <v>0.0037</v>
      </c>
      <c r="AR11" s="80"/>
      <c r="AS11" s="80"/>
      <c r="AT11" s="80"/>
      <c r="AU11" s="80"/>
      <c r="AV11" s="84">
        <f t="shared" si="0"/>
        <v>1</v>
      </c>
      <c r="AW11" s="80">
        <f t="shared" si="1"/>
        <v>0.525</v>
      </c>
    </row>
    <row r="12" spans="2:49" ht="18.75" customHeight="1">
      <c r="B12" t="s">
        <v>94</v>
      </c>
      <c r="C12" s="131" t="s">
        <v>95</v>
      </c>
      <c r="D12" s="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8"/>
      <c r="U12" s="18"/>
      <c r="V12" s="10"/>
      <c r="W12" s="10"/>
      <c r="X12" s="10"/>
      <c r="Y12" s="80">
        <v>0.0707</v>
      </c>
      <c r="Z12" s="80">
        <v>0.0612</v>
      </c>
      <c r="AA12" s="80">
        <v>0.075</v>
      </c>
      <c r="AB12" s="80">
        <v>0.0284</v>
      </c>
      <c r="AC12" s="80">
        <v>0.0339</v>
      </c>
      <c r="AD12" s="80">
        <v>0.0564</v>
      </c>
      <c r="AE12" s="80">
        <v>0.1195</v>
      </c>
      <c r="AF12" s="80">
        <v>0.0208</v>
      </c>
      <c r="AG12" s="80">
        <v>0.0065</v>
      </c>
      <c r="AH12" s="80">
        <v>0.0581</v>
      </c>
      <c r="AI12" s="80">
        <v>0.0573</v>
      </c>
      <c r="AJ12" s="80">
        <v>0.0117</v>
      </c>
      <c r="AK12" s="80">
        <v>0.0053</v>
      </c>
      <c r="AL12" s="80">
        <v>0.0605</v>
      </c>
      <c r="AM12" s="80">
        <v>0.0717</v>
      </c>
      <c r="AN12" s="80">
        <v>0.0478</v>
      </c>
      <c r="AO12" s="80">
        <v>0.0215</v>
      </c>
      <c r="AP12" s="80">
        <v>0</v>
      </c>
      <c r="AQ12" s="80">
        <v>0</v>
      </c>
      <c r="AR12" s="80">
        <v>0.1194</v>
      </c>
      <c r="AS12" s="80"/>
      <c r="AT12" s="80">
        <v>0.0743</v>
      </c>
      <c r="AU12" s="80"/>
      <c r="AV12" s="84">
        <f t="shared" si="0"/>
        <v>1</v>
      </c>
      <c r="AW12" s="80">
        <f t="shared" si="1"/>
        <v>1</v>
      </c>
    </row>
    <row r="13" spans="2:49" ht="18.75" customHeight="1">
      <c r="B13" t="s">
        <v>96</v>
      </c>
      <c r="C13" s="131" t="s">
        <v>97</v>
      </c>
      <c r="D13" s="1"/>
      <c r="E13" s="82"/>
      <c r="F13" s="82"/>
      <c r="G13" s="82"/>
      <c r="H13" s="82"/>
      <c r="I13" s="82"/>
      <c r="J13" s="82"/>
      <c r="K13" s="82">
        <v>0.0105</v>
      </c>
      <c r="L13" s="82"/>
      <c r="M13" s="82">
        <v>0.0226</v>
      </c>
      <c r="N13" s="82">
        <v>0.277</v>
      </c>
      <c r="O13" s="82">
        <v>0.101</v>
      </c>
      <c r="P13" s="82">
        <v>0.0035</v>
      </c>
      <c r="Q13" s="82">
        <v>0.0383</v>
      </c>
      <c r="R13" s="82"/>
      <c r="S13" s="82"/>
      <c r="T13" s="81"/>
      <c r="U13" s="81"/>
      <c r="V13" s="82">
        <v>0.0383</v>
      </c>
      <c r="W13" s="82">
        <v>0.2127</v>
      </c>
      <c r="X13" s="82"/>
      <c r="Y13" s="80">
        <v>0.0035</v>
      </c>
      <c r="Z13" s="80"/>
      <c r="AA13" s="80"/>
      <c r="AB13" s="80">
        <v>0.0046</v>
      </c>
      <c r="AC13" s="80">
        <v>0.0046</v>
      </c>
      <c r="AD13" s="80">
        <v>0.0023</v>
      </c>
      <c r="AE13" s="80">
        <v>0.0035</v>
      </c>
      <c r="AF13" s="80"/>
      <c r="AG13" s="80">
        <v>0.007</v>
      </c>
      <c r="AH13" s="80">
        <v>0.0035</v>
      </c>
      <c r="AI13" s="80">
        <v>0.0035</v>
      </c>
      <c r="AJ13" s="80"/>
      <c r="AK13" s="80">
        <v>0.0197</v>
      </c>
      <c r="AL13" s="80">
        <v>0.0139</v>
      </c>
      <c r="AM13" s="80"/>
      <c r="AN13" s="80">
        <v>0.0581</v>
      </c>
      <c r="AO13" s="80">
        <v>0.0093</v>
      </c>
      <c r="AP13" s="80">
        <v>0.0552</v>
      </c>
      <c r="AQ13" s="80">
        <v>0.0767</v>
      </c>
      <c r="AR13" s="80">
        <v>0.0087</v>
      </c>
      <c r="AS13" s="80">
        <v>0.0139</v>
      </c>
      <c r="AT13" s="80"/>
      <c r="AU13" s="80">
        <v>0.0081</v>
      </c>
      <c r="AV13" s="84">
        <f t="shared" si="0"/>
        <v>1</v>
      </c>
      <c r="AW13" s="80">
        <f t="shared" si="1"/>
        <v>0.2961</v>
      </c>
    </row>
    <row r="14" spans="2:49" ht="18.75" customHeight="1">
      <c r="B14" t="s">
        <v>98</v>
      </c>
      <c r="C14" s="132" t="s">
        <v>155</v>
      </c>
      <c r="D14" s="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1"/>
      <c r="U14" s="81">
        <v>0.0095</v>
      </c>
      <c r="V14" s="82">
        <v>0.3714</v>
      </c>
      <c r="W14" s="82"/>
      <c r="X14" s="82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>
        <v>0.2191</v>
      </c>
      <c r="AO14" s="80"/>
      <c r="AP14" s="80">
        <v>0.2</v>
      </c>
      <c r="AQ14" s="80">
        <v>0.2</v>
      </c>
      <c r="AR14" s="80"/>
      <c r="AS14" s="80"/>
      <c r="AT14" s="80"/>
      <c r="AU14" s="80"/>
      <c r="AV14" s="84">
        <f t="shared" si="0"/>
        <v>1</v>
      </c>
      <c r="AW14" s="80">
        <f t="shared" si="1"/>
        <v>0.6191</v>
      </c>
    </row>
    <row r="15" spans="2:49" ht="18.75" customHeight="1">
      <c r="B15" t="s">
        <v>109</v>
      </c>
      <c r="C15" s="133" t="s">
        <v>135</v>
      </c>
      <c r="D15" s="29"/>
      <c r="E15" s="10"/>
      <c r="F15" s="10"/>
      <c r="G15" s="10"/>
      <c r="H15" s="10"/>
      <c r="I15" s="10"/>
      <c r="J15" s="10">
        <v>1</v>
      </c>
      <c r="K15" s="10"/>
      <c r="L15" s="10">
        <v>2</v>
      </c>
      <c r="M15" s="10">
        <v>1</v>
      </c>
      <c r="N15" s="10">
        <v>2</v>
      </c>
      <c r="O15" s="10">
        <v>4</v>
      </c>
      <c r="P15" s="10"/>
      <c r="Q15" s="10">
        <v>6</v>
      </c>
      <c r="R15" s="10">
        <v>4</v>
      </c>
      <c r="S15" s="10">
        <v>3</v>
      </c>
      <c r="T15" s="18">
        <v>2</v>
      </c>
      <c r="U15" s="18">
        <v>1</v>
      </c>
      <c r="V15" s="10">
        <v>5</v>
      </c>
      <c r="W15" s="10">
        <v>5</v>
      </c>
      <c r="X15" s="1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30">
        <v>6</v>
      </c>
      <c r="AO15" s="30">
        <v>2</v>
      </c>
      <c r="AP15" s="30">
        <v>21</v>
      </c>
      <c r="AQ15" s="30">
        <v>16</v>
      </c>
      <c r="AR15" s="30">
        <v>1</v>
      </c>
      <c r="AS15" s="30"/>
      <c r="AT15" s="30">
        <v>1</v>
      </c>
      <c r="AU15" s="30"/>
      <c r="AV15" s="79">
        <f t="shared" si="0"/>
        <v>83</v>
      </c>
      <c r="AW15" s="4">
        <f t="shared" si="1"/>
        <v>47</v>
      </c>
    </row>
    <row r="16" spans="2:49" ht="18.75" customHeight="1" thickBot="1">
      <c r="B16" t="s">
        <v>110</v>
      </c>
      <c r="C16" s="83" t="s">
        <v>185</v>
      </c>
      <c r="D16" s="1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8"/>
      <c r="U16" s="18"/>
      <c r="V16" s="10"/>
      <c r="W16" s="10"/>
      <c r="X16" s="10"/>
      <c r="Y16" s="80">
        <f>((Y3/$AW$3)/3+(Y4/$AW$4)/3+(Y13/$AW$13)/3)</f>
        <v>0.004058585241147972</v>
      </c>
      <c r="Z16" s="80">
        <f aca="true" t="shared" si="2" ref="Z16:AU16">((Z3/$AW$3)/3+(Z4/$AW$4)/3+(Z13/$AW$13)/3)</f>
        <v>3.529367249867698E-05</v>
      </c>
      <c r="AA16" s="80">
        <f t="shared" si="2"/>
        <v>2.79553841573679E-06</v>
      </c>
      <c r="AB16" s="80">
        <f t="shared" si="2"/>
        <v>0.006651713281453722</v>
      </c>
      <c r="AC16" s="80">
        <f t="shared" si="2"/>
        <v>0.007200190929775242</v>
      </c>
      <c r="AD16" s="80">
        <f t="shared" si="2"/>
        <v>0.004928304408572604</v>
      </c>
      <c r="AE16" s="80">
        <f t="shared" si="2"/>
        <v>0.009174641948588825</v>
      </c>
      <c r="AF16" s="80">
        <f t="shared" si="2"/>
        <v>0.0006038362977991467</v>
      </c>
      <c r="AG16" s="80">
        <f t="shared" si="2"/>
        <v>0.02976929355413638</v>
      </c>
      <c r="AH16" s="80">
        <f t="shared" si="2"/>
        <v>0.004150500028272824</v>
      </c>
      <c r="AI16" s="80">
        <f t="shared" si="2"/>
        <v>0.04836790275645579</v>
      </c>
      <c r="AJ16" s="80">
        <f t="shared" si="2"/>
        <v>0.0026476528928214373</v>
      </c>
      <c r="AK16" s="80">
        <f t="shared" si="2"/>
        <v>0.023634793108769547</v>
      </c>
      <c r="AL16" s="80">
        <f t="shared" si="2"/>
        <v>0.0179428214819117</v>
      </c>
      <c r="AM16" s="80">
        <f t="shared" si="2"/>
        <v>0.004049996583153171</v>
      </c>
      <c r="AN16" s="80">
        <f t="shared" si="2"/>
        <v>0.07176980131724298</v>
      </c>
      <c r="AO16" s="80">
        <f t="shared" si="2"/>
        <v>0.01497175964589321</v>
      </c>
      <c r="AP16" s="80">
        <f t="shared" si="2"/>
        <v>0.3703199142694696</v>
      </c>
      <c r="AQ16" s="80">
        <f t="shared" si="2"/>
        <v>0.3197588574748308</v>
      </c>
      <c r="AR16" s="80">
        <f t="shared" si="2"/>
        <v>0.01793682022847453</v>
      </c>
      <c r="AS16" s="80">
        <f t="shared" si="2"/>
        <v>0.0156478667116965</v>
      </c>
      <c r="AT16" s="80">
        <f t="shared" si="2"/>
        <v>0.013596020976876528</v>
      </c>
      <c r="AU16" s="80">
        <f t="shared" si="2"/>
        <v>0.012780637651743115</v>
      </c>
      <c r="AV16" s="84">
        <f t="shared" si="0"/>
        <v>1</v>
      </c>
      <c r="AW16" s="80">
        <f t="shared" si="1"/>
        <v>1</v>
      </c>
    </row>
    <row r="17" spans="2:49" ht="18.75" customHeight="1" hidden="1">
      <c r="B17" t="s">
        <v>132</v>
      </c>
      <c r="C17" s="12" t="s">
        <v>112</v>
      </c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8"/>
      <c r="U17" s="18"/>
      <c r="V17" s="10"/>
      <c r="W17" s="10"/>
      <c r="X17" s="10"/>
      <c r="Y17" s="80">
        <f>(Y3/$AW$3+Y4/$AW$4+Y5/$AW$5)/3</f>
        <v>0.0003333840403406428</v>
      </c>
      <c r="Z17" s="80">
        <f aca="true" t="shared" si="3" ref="Z17:AU17">(Z3/$AW$3+Z4/$AW$4+Z5/$AW$5)/3</f>
        <v>0.0002930225645898362</v>
      </c>
      <c r="AA17" s="80">
        <f t="shared" si="3"/>
        <v>1.0920112908894457E-05</v>
      </c>
      <c r="AB17" s="80">
        <f t="shared" si="3"/>
        <v>0.0021575583176515582</v>
      </c>
      <c r="AC17" s="80">
        <f t="shared" si="3"/>
        <v>0.0027582062889087607</v>
      </c>
      <c r="AD17" s="80">
        <f t="shared" si="3"/>
        <v>0.0027879649244389056</v>
      </c>
      <c r="AE17" s="80">
        <f t="shared" si="3"/>
        <v>0.005794284933656478</v>
      </c>
      <c r="AF17" s="80">
        <f t="shared" si="3"/>
        <v>0.0006507144796353499</v>
      </c>
      <c r="AG17" s="80">
        <f t="shared" si="3"/>
        <v>0.031932636173918935</v>
      </c>
      <c r="AH17" s="80">
        <f t="shared" si="3"/>
        <v>0.00031628466649455964</v>
      </c>
      <c r="AI17" s="80">
        <f t="shared" si="3"/>
        <v>0.05642914282064767</v>
      </c>
      <c r="AJ17" s="80">
        <f t="shared" si="3"/>
        <v>0.004089716953548274</v>
      </c>
      <c r="AK17" s="80">
        <f t="shared" si="3"/>
        <v>0.00200674261823022</v>
      </c>
      <c r="AL17" s="80">
        <f t="shared" si="3"/>
        <v>0.0025479146758822023</v>
      </c>
      <c r="AM17" s="80">
        <f t="shared" si="3"/>
        <v>0.0046624585175074375</v>
      </c>
      <c r="AN17" s="80">
        <f t="shared" si="3"/>
        <v>0.010470567168519166</v>
      </c>
      <c r="AO17" s="80">
        <f t="shared" si="3"/>
        <v>0.011513770133205729</v>
      </c>
      <c r="AP17" s="80">
        <f t="shared" si="3"/>
        <v>0.4713670994781564</v>
      </c>
      <c r="AQ17" s="80">
        <f t="shared" si="3"/>
        <v>0.35158973246616454</v>
      </c>
      <c r="AR17" s="80">
        <f t="shared" si="3"/>
        <v>0.01143702432022694</v>
      </c>
      <c r="AS17" s="80">
        <f t="shared" si="3"/>
        <v>2.474398311837287E-05</v>
      </c>
      <c r="AT17" s="80">
        <f t="shared" si="3"/>
        <v>0.02203441253229625</v>
      </c>
      <c r="AU17" s="80">
        <f t="shared" si="3"/>
        <v>0.004791697829953013</v>
      </c>
      <c r="AV17" s="84">
        <f t="shared" si="0"/>
        <v>1</v>
      </c>
      <c r="AW17" s="80">
        <f t="shared" si="1"/>
        <v>1</v>
      </c>
    </row>
    <row r="18" spans="2:49" ht="18.75" customHeight="1" hidden="1">
      <c r="B18" s="25" t="s">
        <v>133</v>
      </c>
      <c r="C18" s="12" t="s">
        <v>153</v>
      </c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8"/>
      <c r="U18" s="18"/>
      <c r="V18" s="10"/>
      <c r="W18" s="10"/>
      <c r="X18" s="10"/>
      <c r="Y18" s="80">
        <f>(Y3/$AW$3+Y4/$AW$4+Y5/$AW$5+Y6/$AW$6+Y15/$AW$15)/5</f>
        <v>0.0017151819393559004</v>
      </c>
      <c r="Z18" s="80">
        <f aca="true" t="shared" si="4" ref="Z18:AU18">(Z3/$AW$3+Z4/$AW$4+Z5/$AW$5+Z6/$AW$6+Z15/$AW$15)/5</f>
        <v>0.0009719100975623248</v>
      </c>
      <c r="AA18" s="80">
        <f t="shared" si="4"/>
        <v>0.00013495473852088877</v>
      </c>
      <c r="AB18" s="80">
        <f t="shared" si="4"/>
        <v>0.0028096865057424497</v>
      </c>
      <c r="AC18" s="80">
        <f t="shared" si="4"/>
        <v>0.0033755195617376547</v>
      </c>
      <c r="AD18" s="80">
        <f t="shared" si="4"/>
        <v>0.003701541152917066</v>
      </c>
      <c r="AE18" s="80">
        <f t="shared" si="4"/>
        <v>0.006301429717256032</v>
      </c>
      <c r="AF18" s="80">
        <f t="shared" si="4"/>
        <v>0.0007242756317976454</v>
      </c>
      <c r="AG18" s="80">
        <f t="shared" si="4"/>
        <v>0.03487606860727894</v>
      </c>
      <c r="AH18" s="80">
        <f t="shared" si="4"/>
        <v>0.0051717944259881575</v>
      </c>
      <c r="AI18" s="80">
        <f t="shared" si="4"/>
        <v>0.039147675728341345</v>
      </c>
      <c r="AJ18" s="80">
        <f t="shared" si="4"/>
        <v>0.004765078246088903</v>
      </c>
      <c r="AK18" s="80">
        <f t="shared" si="4"/>
        <v>0.003412571508277629</v>
      </c>
      <c r="AL18" s="80">
        <f t="shared" si="4"/>
        <v>0.0036602331404034863</v>
      </c>
      <c r="AM18" s="80">
        <f t="shared" si="4"/>
        <v>0.0051087231844644</v>
      </c>
      <c r="AN18" s="80">
        <f t="shared" si="4"/>
        <v>0.037515333777163026</v>
      </c>
      <c r="AO18" s="80">
        <f t="shared" si="4"/>
        <v>0.021428145370091616</v>
      </c>
      <c r="AP18" s="80">
        <f t="shared" si="4"/>
        <v>0.445576928429859</v>
      </c>
      <c r="AQ18" s="80">
        <f t="shared" si="4"/>
        <v>0.3367431061092106</v>
      </c>
      <c r="AR18" s="80">
        <f t="shared" si="4"/>
        <v>0.015406182944975774</v>
      </c>
      <c r="AS18" s="80">
        <f t="shared" si="4"/>
        <v>0.00016892959480168624</v>
      </c>
      <c r="AT18" s="80">
        <f t="shared" si="4"/>
        <v>0.022175504418699126</v>
      </c>
      <c r="AU18" s="80">
        <f t="shared" si="4"/>
        <v>0.005109225169466413</v>
      </c>
      <c r="AV18" s="84">
        <f t="shared" si="0"/>
        <v>1</v>
      </c>
      <c r="AW18" s="98">
        <f t="shared" si="1"/>
        <v>1</v>
      </c>
    </row>
    <row r="19" spans="3:49" ht="18.75" customHeight="1" thickBot="1">
      <c r="C19" s="11" t="s">
        <v>161</v>
      </c>
      <c r="D19" s="17"/>
      <c r="E19" s="27">
        <f aca="true" t="shared" si="5" ref="E19:AV19">E4-E5</f>
        <v>1300000</v>
      </c>
      <c r="F19" s="27">
        <f t="shared" si="5"/>
        <v>531089.28</v>
      </c>
      <c r="G19" s="27">
        <f t="shared" si="5"/>
        <v>-903.37</v>
      </c>
      <c r="H19" s="27">
        <f t="shared" si="5"/>
        <v>-439444.73</v>
      </c>
      <c r="I19" s="27">
        <f t="shared" si="5"/>
        <v>-19918.53</v>
      </c>
      <c r="J19" s="27">
        <f t="shared" si="5"/>
        <v>-13180.23</v>
      </c>
      <c r="K19" s="27">
        <f t="shared" si="5"/>
        <v>-57480.600000000006</v>
      </c>
      <c r="L19" s="27">
        <f t="shared" si="5"/>
        <v>-38225.21</v>
      </c>
      <c r="M19" s="27">
        <f t="shared" si="5"/>
        <v>-69370.4</v>
      </c>
      <c r="N19" s="27">
        <f t="shared" si="5"/>
        <v>-249129.1</v>
      </c>
      <c r="O19" s="27">
        <f t="shared" si="5"/>
        <v>-218934.46</v>
      </c>
      <c r="P19" s="27">
        <f t="shared" si="5"/>
        <v>-324.6300000000001</v>
      </c>
      <c r="Q19" s="27">
        <f t="shared" si="5"/>
        <v>-263005.76</v>
      </c>
      <c r="R19" s="27">
        <f t="shared" si="5"/>
        <v>-780878.99</v>
      </c>
      <c r="S19" s="27">
        <f t="shared" si="5"/>
        <v>-871090.62</v>
      </c>
      <c r="T19" s="27">
        <f t="shared" si="5"/>
        <v>-7564.099999999991</v>
      </c>
      <c r="U19" s="27">
        <f t="shared" si="5"/>
        <v>-175136.57</v>
      </c>
      <c r="V19" s="27">
        <f t="shared" si="5"/>
        <v>-97823.85999999999</v>
      </c>
      <c r="W19" s="27">
        <f t="shared" si="5"/>
        <v>-452474.27</v>
      </c>
      <c r="X19" s="27">
        <f t="shared" si="5"/>
        <v>0</v>
      </c>
      <c r="Y19" s="27">
        <f t="shared" si="5"/>
        <v>-1862.3000000000002</v>
      </c>
      <c r="Z19" s="27">
        <f t="shared" si="5"/>
        <v>-6053.26</v>
      </c>
      <c r="AA19" s="27">
        <f t="shared" si="5"/>
        <v>-130.62</v>
      </c>
      <c r="AB19" s="27">
        <f t="shared" si="5"/>
        <v>33277.71</v>
      </c>
      <c r="AC19" s="27">
        <f t="shared" si="5"/>
        <v>51416.58</v>
      </c>
      <c r="AD19" s="27">
        <f t="shared" si="5"/>
        <v>70930.66</v>
      </c>
      <c r="AE19" s="27">
        <f t="shared" si="5"/>
        <v>171357.05000000002</v>
      </c>
      <c r="AF19" s="27">
        <f t="shared" si="5"/>
        <v>20269.34</v>
      </c>
      <c r="AG19" s="27">
        <f t="shared" si="5"/>
        <v>159165.60000000003</v>
      </c>
      <c r="AH19" s="27">
        <f t="shared" si="5"/>
        <v>4520.03</v>
      </c>
      <c r="AI19" s="27">
        <f t="shared" si="5"/>
        <v>-38649.21999999997</v>
      </c>
      <c r="AJ19" s="27">
        <f t="shared" si="5"/>
        <v>-13972.390000000003</v>
      </c>
      <c r="AK19" s="27">
        <f t="shared" si="5"/>
        <v>36552.59</v>
      </c>
      <c r="AL19" s="27">
        <f t="shared" si="5"/>
        <v>74913.09</v>
      </c>
      <c r="AM19" s="27">
        <f t="shared" si="5"/>
        <v>127488.54999999999</v>
      </c>
      <c r="AN19" s="27">
        <f t="shared" si="5"/>
        <v>-24417.67</v>
      </c>
      <c r="AO19" s="27">
        <f t="shared" si="5"/>
        <v>-37969.42000000001</v>
      </c>
      <c r="AP19" s="27">
        <f t="shared" si="5"/>
        <v>971877.1799999997</v>
      </c>
      <c r="AQ19" s="27">
        <f t="shared" si="5"/>
        <v>794636.8399999999</v>
      </c>
      <c r="AR19" s="27">
        <f t="shared" si="5"/>
        <v>62275.000000000015</v>
      </c>
      <c r="AS19" s="27">
        <f t="shared" si="5"/>
        <v>-702.37</v>
      </c>
      <c r="AT19" s="27">
        <f t="shared" si="5"/>
        <v>-91923.94</v>
      </c>
      <c r="AU19" s="27">
        <f t="shared" si="5"/>
        <v>98933.62</v>
      </c>
      <c r="AV19" s="130">
        <f t="shared" si="5"/>
        <v>538136.5000000037</v>
      </c>
      <c r="AW19" s="127" t="s">
        <v>168</v>
      </c>
    </row>
    <row r="20" spans="3:48" ht="18.75" customHeight="1">
      <c r="C20" s="28" t="s">
        <v>134</v>
      </c>
      <c r="D20" s="69" t="s">
        <v>164</v>
      </c>
      <c r="E20" s="72"/>
      <c r="F20" s="10">
        <v>-531089.28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15506.26</v>
      </c>
      <c r="R20" s="18">
        <v>85284.41</v>
      </c>
      <c r="S20" s="18">
        <v>213211.02</v>
      </c>
      <c r="T20" s="18"/>
      <c r="U20" s="18">
        <v>15506.26</v>
      </c>
      <c r="V20" s="18"/>
      <c r="W20" s="18"/>
      <c r="X20" s="18"/>
      <c r="Y20" s="4"/>
      <c r="Z20" s="4"/>
      <c r="AA20" s="4"/>
      <c r="AB20" s="4"/>
      <c r="AC20" s="4"/>
      <c r="AD20" s="4"/>
      <c r="AE20" s="4"/>
      <c r="AF20" s="4"/>
      <c r="AG20" s="4">
        <v>54271.9</v>
      </c>
      <c r="AH20" s="4"/>
      <c r="AI20" s="4"/>
      <c r="AJ20" s="4"/>
      <c r="AK20" s="4"/>
      <c r="AL20" s="4"/>
      <c r="AM20" s="4"/>
      <c r="AN20" s="4"/>
      <c r="AO20" s="4"/>
      <c r="AP20" s="4">
        <v>85284.41</v>
      </c>
      <c r="AQ20" s="4">
        <v>62025.02</v>
      </c>
      <c r="AR20" s="4"/>
      <c r="AS20" s="4"/>
      <c r="AT20" s="4"/>
      <c r="AU20" s="4"/>
      <c r="AV20" s="85">
        <f>SUM(E20:AU20)</f>
        <v>0</v>
      </c>
    </row>
    <row r="21" spans="3:48" ht="18.75" customHeight="1">
      <c r="C21" s="28" t="s">
        <v>147</v>
      </c>
      <c r="D21" s="69" t="s">
        <v>163</v>
      </c>
      <c r="E21" s="72"/>
      <c r="F21" s="10"/>
      <c r="G21" s="10"/>
      <c r="H21" s="10">
        <v>439444.73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85">
        <f aca="true" t="shared" si="6" ref="AV21:AV27">SUM(E21:AU21)</f>
        <v>439444.73</v>
      </c>
    </row>
    <row r="22" spans="3:48" ht="18.75" customHeight="1">
      <c r="C22" s="28" t="s">
        <v>136</v>
      </c>
      <c r="D22" s="69" t="s">
        <v>162</v>
      </c>
      <c r="E22" s="72"/>
      <c r="F22" s="10"/>
      <c r="G22" s="10"/>
      <c r="H22" s="10"/>
      <c r="I22" s="10"/>
      <c r="J22" s="10"/>
      <c r="K22" s="10"/>
      <c r="L22" s="10">
        <f>6568.96+4649.08</f>
        <v>11218.04</v>
      </c>
      <c r="M22" s="10"/>
      <c r="N22" s="10"/>
      <c r="O22" s="10"/>
      <c r="P22" s="10">
        <f>-(6568.96+4649.08)</f>
        <v>-11218.04</v>
      </c>
      <c r="Q22" s="10"/>
      <c r="R22" s="10"/>
      <c r="S22" s="10"/>
      <c r="T22" s="10"/>
      <c r="U22" s="10"/>
      <c r="V22" s="10"/>
      <c r="W22" s="10"/>
      <c r="X22" s="10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85">
        <f t="shared" si="6"/>
        <v>0</v>
      </c>
    </row>
    <row r="23" spans="3:48" ht="18.75" customHeight="1">
      <c r="C23" s="28" t="s">
        <v>137</v>
      </c>
      <c r="D23" s="69" t="s">
        <v>162</v>
      </c>
      <c r="E23" s="72"/>
      <c r="F23" s="10"/>
      <c r="G23" s="10"/>
      <c r="H23" s="10"/>
      <c r="I23" s="10"/>
      <c r="J23" s="10"/>
      <c r="K23" s="10"/>
      <c r="L23" s="10"/>
      <c r="M23" s="10"/>
      <c r="N23" s="10"/>
      <c r="O23" s="10">
        <f>40417.2+28873.39</f>
        <v>69290.59</v>
      </c>
      <c r="P23" s="10"/>
      <c r="Q23" s="10"/>
      <c r="R23" s="10"/>
      <c r="S23" s="10"/>
      <c r="T23" s="10"/>
      <c r="U23" s="10"/>
      <c r="V23" s="10"/>
      <c r="W23" s="10"/>
      <c r="X23" s="10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>
        <v>-40417.2</v>
      </c>
      <c r="AQ23" s="32">
        <v>-28873.39</v>
      </c>
      <c r="AR23" s="32"/>
      <c r="AS23" s="32"/>
      <c r="AT23" s="32"/>
      <c r="AU23" s="32"/>
      <c r="AV23" s="85">
        <f t="shared" si="6"/>
        <v>0</v>
      </c>
    </row>
    <row r="24" spans="3:48" ht="18.75" customHeight="1">
      <c r="C24" s="28" t="s">
        <v>182</v>
      </c>
      <c r="D24" s="69" t="s">
        <v>162</v>
      </c>
      <c r="E24" s="7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v>24573.83</v>
      </c>
      <c r="V24" s="10"/>
      <c r="W24" s="10">
        <v>-3789.28</v>
      </c>
      <c r="X24" s="10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>
        <v>-378.44</v>
      </c>
      <c r="AO24" s="32">
        <v>-29.49</v>
      </c>
      <c r="AP24" s="32">
        <v>-10367.7</v>
      </c>
      <c r="AQ24" s="32">
        <v>-10008.92</v>
      </c>
      <c r="AR24" s="32"/>
      <c r="AS24" s="32"/>
      <c r="AT24" s="32"/>
      <c r="AU24" s="32"/>
      <c r="AV24" s="85">
        <f t="shared" si="6"/>
        <v>0</v>
      </c>
    </row>
    <row r="25" spans="3:48" ht="18.75" customHeight="1">
      <c r="C25" s="28" t="s">
        <v>138</v>
      </c>
      <c r="D25" s="69" t="s">
        <v>162</v>
      </c>
      <c r="E25" s="7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85">
        <f t="shared" si="6"/>
        <v>0</v>
      </c>
    </row>
    <row r="26" spans="3:48" ht="18.75" customHeight="1">
      <c r="C26" s="28" t="s">
        <v>139</v>
      </c>
      <c r="D26" s="69" t="s">
        <v>162</v>
      </c>
      <c r="E26" s="7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>
        <v>-12400.73</v>
      </c>
      <c r="U26" s="10"/>
      <c r="V26" s="10"/>
      <c r="W26" s="10">
        <v>12400.73</v>
      </c>
      <c r="X26" s="10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85">
        <f t="shared" si="6"/>
        <v>0</v>
      </c>
    </row>
    <row r="27" spans="3:48" ht="18.75" customHeight="1">
      <c r="C27" s="28" t="s">
        <v>156</v>
      </c>
      <c r="D27" s="69" t="s">
        <v>162</v>
      </c>
      <c r="E27" s="7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>
        <f>19503.49+10532.04+1509.37</f>
        <v>31544.9</v>
      </c>
      <c r="AQ27" s="32">
        <f>-(19503.49+10532.04+1509.37)+44919.14</f>
        <v>13374.239999999998</v>
      </c>
      <c r="AR27" s="32">
        <f>-(12768.83+12432.11+13425.08+13343.36+13028.03)</f>
        <v>-64997.41</v>
      </c>
      <c r="AS27" s="32"/>
      <c r="AT27" s="32">
        <f>12768.83+12432.11+13425.08+13343.36+13028.03</f>
        <v>64997.41</v>
      </c>
      <c r="AU27" s="32">
        <v>-44919.14</v>
      </c>
      <c r="AV27" s="85">
        <f t="shared" si="6"/>
        <v>0</v>
      </c>
    </row>
    <row r="28" spans="3:48" ht="18.75" customHeight="1" thickBot="1">
      <c r="C28" s="58" t="s">
        <v>146</v>
      </c>
      <c r="D28" s="70"/>
      <c r="E28" s="47">
        <f>SUM(E20:E27)</f>
        <v>0</v>
      </c>
      <c r="F28" s="47">
        <f aca="true" t="shared" si="7" ref="F28:AV28">SUM(F20:F27)</f>
        <v>-531089.28</v>
      </c>
      <c r="G28" s="47">
        <f t="shared" si="7"/>
        <v>0</v>
      </c>
      <c r="H28" s="47">
        <f t="shared" si="7"/>
        <v>439444.73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11218.04</v>
      </c>
      <c r="M28" s="47">
        <f t="shared" si="7"/>
        <v>0</v>
      </c>
      <c r="N28" s="47">
        <f t="shared" si="7"/>
        <v>0</v>
      </c>
      <c r="O28" s="47">
        <f t="shared" si="7"/>
        <v>69290.59</v>
      </c>
      <c r="P28" s="47">
        <f t="shared" si="7"/>
        <v>-11218.04</v>
      </c>
      <c r="Q28" s="47">
        <f t="shared" si="7"/>
        <v>15506.26</v>
      </c>
      <c r="R28" s="47">
        <f t="shared" si="7"/>
        <v>85284.41</v>
      </c>
      <c r="S28" s="47">
        <f t="shared" si="7"/>
        <v>213211.02</v>
      </c>
      <c r="T28" s="47">
        <f t="shared" si="7"/>
        <v>-12400.73</v>
      </c>
      <c r="U28" s="47">
        <f t="shared" si="7"/>
        <v>40080.090000000004</v>
      </c>
      <c r="V28" s="47">
        <f t="shared" si="7"/>
        <v>0</v>
      </c>
      <c r="W28" s="47">
        <f t="shared" si="7"/>
        <v>8611.449999999999</v>
      </c>
      <c r="X28" s="47">
        <f t="shared" si="7"/>
        <v>0</v>
      </c>
      <c r="Y28" s="47">
        <f t="shared" si="7"/>
        <v>0</v>
      </c>
      <c r="Z28" s="47">
        <f t="shared" si="7"/>
        <v>0</v>
      </c>
      <c r="AA28" s="47">
        <f t="shared" si="7"/>
        <v>0</v>
      </c>
      <c r="AB28" s="47">
        <f t="shared" si="7"/>
        <v>0</v>
      </c>
      <c r="AC28" s="47">
        <f t="shared" si="7"/>
        <v>0</v>
      </c>
      <c r="AD28" s="47">
        <f t="shared" si="7"/>
        <v>0</v>
      </c>
      <c r="AE28" s="47">
        <f t="shared" si="7"/>
        <v>0</v>
      </c>
      <c r="AF28" s="47">
        <f t="shared" si="7"/>
        <v>0</v>
      </c>
      <c r="AG28" s="47">
        <f t="shared" si="7"/>
        <v>54271.9</v>
      </c>
      <c r="AH28" s="47">
        <f t="shared" si="7"/>
        <v>0</v>
      </c>
      <c r="AI28" s="47">
        <f t="shared" si="7"/>
        <v>0</v>
      </c>
      <c r="AJ28" s="47">
        <f t="shared" si="7"/>
        <v>0</v>
      </c>
      <c r="AK28" s="47">
        <f t="shared" si="7"/>
        <v>0</v>
      </c>
      <c r="AL28" s="47">
        <f t="shared" si="7"/>
        <v>0</v>
      </c>
      <c r="AM28" s="47">
        <f t="shared" si="7"/>
        <v>0</v>
      </c>
      <c r="AN28" s="47">
        <f t="shared" si="7"/>
        <v>-378.44</v>
      </c>
      <c r="AO28" s="47">
        <f t="shared" si="7"/>
        <v>-29.49</v>
      </c>
      <c r="AP28" s="47">
        <f t="shared" si="7"/>
        <v>66044.41</v>
      </c>
      <c r="AQ28" s="47">
        <f t="shared" si="7"/>
        <v>36516.95</v>
      </c>
      <c r="AR28" s="47">
        <f t="shared" si="7"/>
        <v>-64997.41</v>
      </c>
      <c r="AS28" s="47">
        <f t="shared" si="7"/>
        <v>0</v>
      </c>
      <c r="AT28" s="47">
        <f t="shared" si="7"/>
        <v>64997.41</v>
      </c>
      <c r="AU28" s="47">
        <f t="shared" si="7"/>
        <v>-44919.14</v>
      </c>
      <c r="AV28" s="47">
        <f t="shared" si="7"/>
        <v>439444.73</v>
      </c>
    </row>
    <row r="29" spans="3:49" ht="18.75" customHeight="1" thickBot="1">
      <c r="C29" s="57" t="s">
        <v>151</v>
      </c>
      <c r="D29" s="71"/>
      <c r="E29" s="73">
        <f aca="true" t="shared" si="8" ref="E29:AV29">E19+E28</f>
        <v>1300000</v>
      </c>
      <c r="F29" s="73">
        <f t="shared" si="8"/>
        <v>0</v>
      </c>
      <c r="G29" s="73">
        <f t="shared" si="8"/>
        <v>-903.37</v>
      </c>
      <c r="H29" s="73">
        <f t="shared" si="8"/>
        <v>0</v>
      </c>
      <c r="I29" s="73">
        <f t="shared" si="8"/>
        <v>-19918.53</v>
      </c>
      <c r="J29" s="73">
        <f t="shared" si="8"/>
        <v>-13180.23</v>
      </c>
      <c r="K29" s="73">
        <f t="shared" si="8"/>
        <v>-57480.600000000006</v>
      </c>
      <c r="L29" s="73">
        <f t="shared" si="8"/>
        <v>-27007.17</v>
      </c>
      <c r="M29" s="73">
        <f t="shared" si="8"/>
        <v>-69370.4</v>
      </c>
      <c r="N29" s="73">
        <f t="shared" si="8"/>
        <v>-249129.1</v>
      </c>
      <c r="O29" s="73">
        <f t="shared" si="8"/>
        <v>-149643.87</v>
      </c>
      <c r="P29" s="73">
        <f t="shared" si="8"/>
        <v>-11542.670000000002</v>
      </c>
      <c r="Q29" s="73">
        <f t="shared" si="8"/>
        <v>-247499.5</v>
      </c>
      <c r="R29" s="73">
        <f t="shared" si="8"/>
        <v>-695594.58</v>
      </c>
      <c r="S29" s="73">
        <f t="shared" si="8"/>
        <v>-657879.6</v>
      </c>
      <c r="T29" s="73">
        <f t="shared" si="8"/>
        <v>-19964.82999999999</v>
      </c>
      <c r="U29" s="73">
        <f t="shared" si="8"/>
        <v>-135056.48</v>
      </c>
      <c r="V29" s="73">
        <f t="shared" si="8"/>
        <v>-97823.85999999999</v>
      </c>
      <c r="W29" s="73">
        <f t="shared" si="8"/>
        <v>-443862.82</v>
      </c>
      <c r="X29" s="73">
        <f t="shared" si="8"/>
        <v>0</v>
      </c>
      <c r="Y29" s="73">
        <f t="shared" si="8"/>
        <v>-1862.3000000000002</v>
      </c>
      <c r="Z29" s="73">
        <f t="shared" si="8"/>
        <v>-6053.26</v>
      </c>
      <c r="AA29" s="73">
        <f t="shared" si="8"/>
        <v>-130.62</v>
      </c>
      <c r="AB29" s="73">
        <f t="shared" si="8"/>
        <v>33277.71</v>
      </c>
      <c r="AC29" s="73">
        <f t="shared" si="8"/>
        <v>51416.58</v>
      </c>
      <c r="AD29" s="73">
        <f t="shared" si="8"/>
        <v>70930.66</v>
      </c>
      <c r="AE29" s="73">
        <f t="shared" si="8"/>
        <v>171357.05000000002</v>
      </c>
      <c r="AF29" s="73">
        <f t="shared" si="8"/>
        <v>20269.34</v>
      </c>
      <c r="AG29" s="73">
        <f t="shared" si="8"/>
        <v>213437.50000000003</v>
      </c>
      <c r="AH29" s="73">
        <f t="shared" si="8"/>
        <v>4520.03</v>
      </c>
      <c r="AI29" s="73">
        <f t="shared" si="8"/>
        <v>-38649.21999999997</v>
      </c>
      <c r="AJ29" s="73">
        <f t="shared" si="8"/>
        <v>-13972.390000000003</v>
      </c>
      <c r="AK29" s="73">
        <f t="shared" si="8"/>
        <v>36552.59</v>
      </c>
      <c r="AL29" s="73">
        <f t="shared" si="8"/>
        <v>74913.09</v>
      </c>
      <c r="AM29" s="73">
        <f t="shared" si="8"/>
        <v>127488.54999999999</v>
      </c>
      <c r="AN29" s="73">
        <f t="shared" si="8"/>
        <v>-24796.109999999997</v>
      </c>
      <c r="AO29" s="73">
        <f t="shared" si="8"/>
        <v>-37998.91000000001</v>
      </c>
      <c r="AP29" s="73">
        <f t="shared" si="8"/>
        <v>1037921.5899999997</v>
      </c>
      <c r="AQ29" s="73">
        <f t="shared" si="8"/>
        <v>831153.7899999998</v>
      </c>
      <c r="AR29" s="73">
        <f t="shared" si="8"/>
        <v>-2722.409999999989</v>
      </c>
      <c r="AS29" s="73">
        <f t="shared" si="8"/>
        <v>-702.37</v>
      </c>
      <c r="AT29" s="73">
        <f t="shared" si="8"/>
        <v>-26926.53</v>
      </c>
      <c r="AU29" s="73">
        <f t="shared" si="8"/>
        <v>54014.479999999996</v>
      </c>
      <c r="AV29" s="129">
        <f t="shared" si="8"/>
        <v>977581.2300000037</v>
      </c>
      <c r="AW29" s="127" t="s">
        <v>188</v>
      </c>
    </row>
    <row r="30" spans="3:48" ht="18.75" customHeight="1">
      <c r="C30" s="134" t="s">
        <v>148</v>
      </c>
      <c r="D30" s="69"/>
      <c r="E30" s="72"/>
      <c r="F30" s="10"/>
      <c r="G30" s="10"/>
      <c r="H30" s="10"/>
      <c r="I30" s="10">
        <v>-7537.43</v>
      </c>
      <c r="J30" s="10"/>
      <c r="K30" s="10"/>
      <c r="L30" s="10"/>
      <c r="M30" s="10"/>
      <c r="N30" s="10"/>
      <c r="O30" s="10"/>
      <c r="P30" s="10"/>
      <c r="Q30" s="10"/>
      <c r="R30" s="10">
        <v>-79.75</v>
      </c>
      <c r="S30" s="10"/>
      <c r="T30" s="10"/>
      <c r="U30" s="10">
        <v>-45.39</v>
      </c>
      <c r="V30" s="10"/>
      <c r="W30" s="10">
        <v>-3047.28</v>
      </c>
      <c r="X30" s="10"/>
      <c r="Y30" s="32"/>
      <c r="Z30" s="32"/>
      <c r="AA30" s="32"/>
      <c r="AB30" s="32">
        <v>-1726.75</v>
      </c>
      <c r="AC30" s="32"/>
      <c r="AD30" s="32"/>
      <c r="AE30" s="32">
        <v>-49741.38</v>
      </c>
      <c r="AF30" s="32">
        <v>-8928</v>
      </c>
      <c r="AG30" s="32">
        <v>-573.97</v>
      </c>
      <c r="AH30" s="32"/>
      <c r="AI30" s="32"/>
      <c r="AJ30" s="32"/>
      <c r="AK30" s="32">
        <v>-626.12</v>
      </c>
      <c r="AL30" s="32"/>
      <c r="AM30" s="32"/>
      <c r="AN30" s="32">
        <f>-(6019.25+10804.04)</f>
        <v>-16823.29</v>
      </c>
      <c r="AO30" s="32">
        <v>-1738.11</v>
      </c>
      <c r="AP30" s="32">
        <v>-302336.35</v>
      </c>
      <c r="AQ30" s="32">
        <v>-43385.39</v>
      </c>
      <c r="AR30" s="32"/>
      <c r="AS30" s="32">
        <v>-2855.52</v>
      </c>
      <c r="AT30" s="32"/>
      <c r="AU30" s="32"/>
      <c r="AV30" s="85">
        <f>SUM(E30:AU30)</f>
        <v>-439444.73</v>
      </c>
    </row>
    <row r="31" spans="3:48" ht="18.75" customHeight="1">
      <c r="C31" s="57" t="s">
        <v>152</v>
      </c>
      <c r="D31" s="69"/>
      <c r="E31" s="74">
        <f>E29+E30</f>
        <v>1300000</v>
      </c>
      <c r="F31" s="59">
        <f aca="true" t="shared" si="9" ref="F31:AU31">F29+F30</f>
        <v>0</v>
      </c>
      <c r="G31" s="59">
        <f t="shared" si="9"/>
        <v>-903.37</v>
      </c>
      <c r="H31" s="59">
        <f t="shared" si="9"/>
        <v>0</v>
      </c>
      <c r="I31" s="59">
        <f t="shared" si="9"/>
        <v>-27455.96</v>
      </c>
      <c r="J31" s="59">
        <f t="shared" si="9"/>
        <v>-13180.23</v>
      </c>
      <c r="K31" s="59">
        <f t="shared" si="9"/>
        <v>-57480.600000000006</v>
      </c>
      <c r="L31" s="59">
        <f t="shared" si="9"/>
        <v>-27007.17</v>
      </c>
      <c r="M31" s="59">
        <f t="shared" si="9"/>
        <v>-69370.4</v>
      </c>
      <c r="N31" s="59">
        <f t="shared" si="9"/>
        <v>-249129.1</v>
      </c>
      <c r="O31" s="59">
        <f t="shared" si="9"/>
        <v>-149643.87</v>
      </c>
      <c r="P31" s="59">
        <f t="shared" si="9"/>
        <v>-11542.670000000002</v>
      </c>
      <c r="Q31" s="59">
        <f t="shared" si="9"/>
        <v>-247499.5</v>
      </c>
      <c r="R31" s="59">
        <f t="shared" si="9"/>
        <v>-695674.33</v>
      </c>
      <c r="S31" s="59">
        <f t="shared" si="9"/>
        <v>-657879.6</v>
      </c>
      <c r="T31" s="59">
        <f t="shared" si="9"/>
        <v>-19964.82999999999</v>
      </c>
      <c r="U31" s="59">
        <f t="shared" si="9"/>
        <v>-135101.87000000002</v>
      </c>
      <c r="V31" s="59">
        <f t="shared" si="9"/>
        <v>-97823.85999999999</v>
      </c>
      <c r="W31" s="59">
        <f t="shared" si="9"/>
        <v>-446910.10000000003</v>
      </c>
      <c r="X31" s="59">
        <f t="shared" si="9"/>
        <v>0</v>
      </c>
      <c r="Y31" s="59">
        <f t="shared" si="9"/>
        <v>-1862.3000000000002</v>
      </c>
      <c r="Z31" s="59">
        <f t="shared" si="9"/>
        <v>-6053.26</v>
      </c>
      <c r="AA31" s="59">
        <f t="shared" si="9"/>
        <v>-130.62</v>
      </c>
      <c r="AB31" s="59">
        <f t="shared" si="9"/>
        <v>31550.96</v>
      </c>
      <c r="AC31" s="59">
        <f t="shared" si="9"/>
        <v>51416.58</v>
      </c>
      <c r="AD31" s="59">
        <f t="shared" si="9"/>
        <v>70930.66</v>
      </c>
      <c r="AE31" s="59">
        <f t="shared" si="9"/>
        <v>121615.67000000001</v>
      </c>
      <c r="AF31" s="59">
        <f t="shared" si="9"/>
        <v>11341.34</v>
      </c>
      <c r="AG31" s="59">
        <f t="shared" si="9"/>
        <v>212863.53000000003</v>
      </c>
      <c r="AH31" s="59">
        <f t="shared" si="9"/>
        <v>4520.03</v>
      </c>
      <c r="AI31" s="59">
        <f t="shared" si="9"/>
        <v>-38649.21999999997</v>
      </c>
      <c r="AJ31" s="59">
        <f t="shared" si="9"/>
        <v>-13972.390000000003</v>
      </c>
      <c r="AK31" s="59">
        <f t="shared" si="9"/>
        <v>35926.469999999994</v>
      </c>
      <c r="AL31" s="59">
        <f t="shared" si="9"/>
        <v>74913.09</v>
      </c>
      <c r="AM31" s="59">
        <f t="shared" si="9"/>
        <v>127488.54999999999</v>
      </c>
      <c r="AN31" s="59">
        <f t="shared" si="9"/>
        <v>-41619.399999999994</v>
      </c>
      <c r="AO31" s="59">
        <f t="shared" si="9"/>
        <v>-39737.02000000001</v>
      </c>
      <c r="AP31" s="59">
        <f t="shared" si="9"/>
        <v>735585.2399999998</v>
      </c>
      <c r="AQ31" s="59">
        <f t="shared" si="9"/>
        <v>787768.3999999998</v>
      </c>
      <c r="AR31" s="59">
        <f t="shared" si="9"/>
        <v>-2722.409999999989</v>
      </c>
      <c r="AS31" s="59">
        <f t="shared" si="9"/>
        <v>-3557.89</v>
      </c>
      <c r="AT31" s="59">
        <f t="shared" si="9"/>
        <v>-26926.53</v>
      </c>
      <c r="AU31" s="59">
        <f t="shared" si="9"/>
        <v>54014.479999999996</v>
      </c>
      <c r="AV31" s="60">
        <f>SUM(E31:AU31)</f>
        <v>538136.4999999997</v>
      </c>
    </row>
    <row r="32" spans="3:48" ht="18.75" customHeight="1">
      <c r="C32" s="28" t="s">
        <v>149</v>
      </c>
      <c r="D32" s="69"/>
      <c r="E32" s="86"/>
      <c r="F32" s="86"/>
      <c r="G32" s="86"/>
      <c r="H32" s="86"/>
      <c r="I32" s="86">
        <v>159973.07</v>
      </c>
      <c r="J32" s="86"/>
      <c r="K32" s="86">
        <v>-5956.67</v>
      </c>
      <c r="L32" s="86">
        <v>5135.76</v>
      </c>
      <c r="M32" s="86"/>
      <c r="N32" s="86">
        <v>3520.07</v>
      </c>
      <c r="O32" s="86">
        <v>3020.02</v>
      </c>
      <c r="P32" s="86"/>
      <c r="Q32" s="86">
        <v>1575.86</v>
      </c>
      <c r="R32" s="86">
        <v>15550.96</v>
      </c>
      <c r="S32" s="86">
        <v>5814.85</v>
      </c>
      <c r="T32" s="86">
        <v>-1038.98</v>
      </c>
      <c r="U32" s="86">
        <v>685.63</v>
      </c>
      <c r="V32" s="86">
        <v>-724.43</v>
      </c>
      <c r="W32" s="86">
        <v>50908.58</v>
      </c>
      <c r="X32" s="86"/>
      <c r="Y32" s="86"/>
      <c r="Z32" s="86"/>
      <c r="AA32" s="86">
        <v>11069.78</v>
      </c>
      <c r="AB32" s="86">
        <v>8749.84</v>
      </c>
      <c r="AC32" s="86">
        <v>35313.42</v>
      </c>
      <c r="AD32" s="86">
        <v>35767.05</v>
      </c>
      <c r="AE32" s="86">
        <v>130501.17</v>
      </c>
      <c r="AF32" s="86">
        <v>22286.01</v>
      </c>
      <c r="AG32" s="86">
        <v>17010.53</v>
      </c>
      <c r="AH32" s="86"/>
      <c r="AI32" s="86">
        <v>2568.82</v>
      </c>
      <c r="AJ32" s="86">
        <v>940.84</v>
      </c>
      <c r="AK32" s="86">
        <v>32672.61</v>
      </c>
      <c r="AL32" s="86">
        <v>46085.6</v>
      </c>
      <c r="AM32" s="86">
        <v>49494.88</v>
      </c>
      <c r="AN32" s="86">
        <v>63957.62</v>
      </c>
      <c r="AO32" s="86">
        <v>9744.15</v>
      </c>
      <c r="AP32" s="86">
        <v>511972.68</v>
      </c>
      <c r="AQ32" s="86">
        <v>492124.18</v>
      </c>
      <c r="AR32" s="86">
        <v>2810.52</v>
      </c>
      <c r="AS32" s="86"/>
      <c r="AT32" s="86">
        <v>1226.51</v>
      </c>
      <c r="AU32" s="86"/>
      <c r="AV32" s="87">
        <f>SUM(E32:AU32)</f>
        <v>1712760.93</v>
      </c>
    </row>
    <row r="33" spans="3:48" ht="18.75" customHeight="1">
      <c r="C33" s="28" t="s">
        <v>117</v>
      </c>
      <c r="D33" s="69"/>
      <c r="E33" s="86"/>
      <c r="F33" s="86"/>
      <c r="G33" s="86"/>
      <c r="H33" s="86"/>
      <c r="I33" s="86">
        <v>37219.47</v>
      </c>
      <c r="J33" s="86"/>
      <c r="K33" s="86"/>
      <c r="L33" s="86"/>
      <c r="M33" s="86"/>
      <c r="N33" s="86"/>
      <c r="O33" s="86"/>
      <c r="P33" s="86"/>
      <c r="Q33" s="86">
        <v>200</v>
      </c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>
        <v>450.72</v>
      </c>
      <c r="AC33" s="86"/>
      <c r="AD33" s="86"/>
      <c r="AE33" s="86">
        <v>85744.71</v>
      </c>
      <c r="AF33" s="86">
        <v>7415.42</v>
      </c>
      <c r="AG33" s="86">
        <v>533.34</v>
      </c>
      <c r="AH33" s="86"/>
      <c r="AI33" s="86"/>
      <c r="AJ33" s="86"/>
      <c r="AK33" s="86"/>
      <c r="AL33" s="86">
        <v>1896.56</v>
      </c>
      <c r="AM33" s="86">
        <v>27776.91</v>
      </c>
      <c r="AN33" s="86">
        <v>18936.86</v>
      </c>
      <c r="AO33" s="86">
        <v>8918.79</v>
      </c>
      <c r="AP33" s="86">
        <v>370385.94</v>
      </c>
      <c r="AQ33" s="86">
        <v>1261.64</v>
      </c>
      <c r="AR33" s="86"/>
      <c r="AS33" s="86">
        <v>2413.09</v>
      </c>
      <c r="AT33" s="86"/>
      <c r="AU33" s="86"/>
      <c r="AV33" s="87">
        <f>SUM(E33:AU33)</f>
        <v>563153.45</v>
      </c>
    </row>
    <row r="34" spans="3:48" ht="18.75" customHeight="1" thickBot="1">
      <c r="C34" s="28" t="s">
        <v>165</v>
      </c>
      <c r="D34" s="69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>
        <v>31085</v>
      </c>
      <c r="R34" s="86"/>
      <c r="S34" s="86"/>
      <c r="T34" s="86"/>
      <c r="U34" s="86"/>
      <c r="V34" s="86"/>
      <c r="W34" s="86"/>
      <c r="X34" s="8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87">
        <f>SUM(E34:AU34)</f>
        <v>31085</v>
      </c>
    </row>
    <row r="35" spans="3:49" ht="18.75" customHeight="1" thickBot="1">
      <c r="C35" s="11" t="s">
        <v>150</v>
      </c>
      <c r="D35" s="70"/>
      <c r="E35" s="75">
        <f>E31-E32+E33+E34</f>
        <v>1300000</v>
      </c>
      <c r="F35" s="75">
        <f aca="true" t="shared" si="10" ref="F35:AU35">F31-F32+F33+F34</f>
        <v>0</v>
      </c>
      <c r="G35" s="75">
        <f t="shared" si="10"/>
        <v>-903.37</v>
      </c>
      <c r="H35" s="75">
        <f t="shared" si="10"/>
        <v>0</v>
      </c>
      <c r="I35" s="75">
        <f t="shared" si="10"/>
        <v>-150209.56</v>
      </c>
      <c r="J35" s="75">
        <f t="shared" si="10"/>
        <v>-13180.23</v>
      </c>
      <c r="K35" s="75">
        <f t="shared" si="10"/>
        <v>-51523.93000000001</v>
      </c>
      <c r="L35" s="75">
        <f t="shared" si="10"/>
        <v>-32142.93</v>
      </c>
      <c r="M35" s="75">
        <f t="shared" si="10"/>
        <v>-69370.4</v>
      </c>
      <c r="N35" s="75">
        <f t="shared" si="10"/>
        <v>-252649.17</v>
      </c>
      <c r="O35" s="75">
        <f t="shared" si="10"/>
        <v>-152663.88999999998</v>
      </c>
      <c r="P35" s="75">
        <f t="shared" si="10"/>
        <v>-11542.670000000002</v>
      </c>
      <c r="Q35" s="75">
        <f t="shared" si="10"/>
        <v>-217790.36</v>
      </c>
      <c r="R35" s="75">
        <f t="shared" si="10"/>
        <v>-711225.2899999999</v>
      </c>
      <c r="S35" s="75">
        <f t="shared" si="10"/>
        <v>-663694.45</v>
      </c>
      <c r="T35" s="75">
        <f t="shared" si="10"/>
        <v>-18925.84999999999</v>
      </c>
      <c r="U35" s="75">
        <f t="shared" si="10"/>
        <v>-135787.50000000003</v>
      </c>
      <c r="V35" s="75">
        <f t="shared" si="10"/>
        <v>-97099.43</v>
      </c>
      <c r="W35" s="75">
        <f t="shared" si="10"/>
        <v>-497818.68000000005</v>
      </c>
      <c r="X35" s="75">
        <f t="shared" si="10"/>
        <v>0</v>
      </c>
      <c r="Y35" s="75">
        <f t="shared" si="10"/>
        <v>-1862.3000000000002</v>
      </c>
      <c r="Z35" s="75">
        <f t="shared" si="10"/>
        <v>-6053.26</v>
      </c>
      <c r="AA35" s="75">
        <f t="shared" si="10"/>
        <v>-11200.400000000001</v>
      </c>
      <c r="AB35" s="75">
        <f t="shared" si="10"/>
        <v>23251.84</v>
      </c>
      <c r="AC35" s="75">
        <f t="shared" si="10"/>
        <v>16103.160000000003</v>
      </c>
      <c r="AD35" s="75">
        <f t="shared" si="10"/>
        <v>35163.61</v>
      </c>
      <c r="AE35" s="75">
        <f t="shared" si="10"/>
        <v>76859.21000000002</v>
      </c>
      <c r="AF35" s="75">
        <f t="shared" si="10"/>
        <v>-3529.249999999998</v>
      </c>
      <c r="AG35" s="75">
        <f t="shared" si="10"/>
        <v>196386.34000000003</v>
      </c>
      <c r="AH35" s="75">
        <f t="shared" si="10"/>
        <v>4520.03</v>
      </c>
      <c r="AI35" s="75">
        <f t="shared" si="10"/>
        <v>-41218.03999999997</v>
      </c>
      <c r="AJ35" s="75">
        <f t="shared" si="10"/>
        <v>-14913.230000000003</v>
      </c>
      <c r="AK35" s="75">
        <f t="shared" si="10"/>
        <v>3253.8599999999933</v>
      </c>
      <c r="AL35" s="75">
        <f t="shared" si="10"/>
        <v>30724.05</v>
      </c>
      <c r="AM35" s="75">
        <f t="shared" si="10"/>
        <v>105770.57999999999</v>
      </c>
      <c r="AN35" s="75">
        <f t="shared" si="10"/>
        <v>-86640.15999999999</v>
      </c>
      <c r="AO35" s="75">
        <f t="shared" si="10"/>
        <v>-40562.38000000001</v>
      </c>
      <c r="AP35" s="75">
        <f t="shared" si="10"/>
        <v>593998.4999999998</v>
      </c>
      <c r="AQ35" s="75">
        <f t="shared" si="10"/>
        <v>296905.8599999998</v>
      </c>
      <c r="AR35" s="75">
        <f t="shared" si="10"/>
        <v>-5532.929999999989</v>
      </c>
      <c r="AS35" s="75">
        <f t="shared" si="10"/>
        <v>-1144.7999999999997</v>
      </c>
      <c r="AT35" s="75">
        <f t="shared" si="10"/>
        <v>-28153.039999999997</v>
      </c>
      <c r="AU35" s="75">
        <f t="shared" si="10"/>
        <v>54014.479999999996</v>
      </c>
      <c r="AV35" s="128">
        <f>AV31-AV32+AV33+AV34</f>
        <v>-580385.9800000002</v>
      </c>
      <c r="AW35" s="127" t="s">
        <v>167</v>
      </c>
    </row>
    <row r="36" spans="3:48" ht="18.75" customHeight="1">
      <c r="C36" s="11" t="s">
        <v>166</v>
      </c>
      <c r="D36" s="35"/>
      <c r="E36" s="99">
        <f>E31</f>
        <v>1300000</v>
      </c>
      <c r="F36" s="99">
        <f aca="true" t="shared" si="11" ref="F36:X36">F31</f>
        <v>0</v>
      </c>
      <c r="G36" s="99">
        <f t="shared" si="11"/>
        <v>-903.37</v>
      </c>
      <c r="H36" s="99">
        <f t="shared" si="11"/>
        <v>0</v>
      </c>
      <c r="I36" s="99">
        <f t="shared" si="11"/>
        <v>-27455.96</v>
      </c>
      <c r="J36" s="99">
        <f t="shared" si="11"/>
        <v>-13180.23</v>
      </c>
      <c r="K36" s="99">
        <f t="shared" si="11"/>
        <v>-57480.600000000006</v>
      </c>
      <c r="L36" s="99">
        <f t="shared" si="11"/>
        <v>-27007.17</v>
      </c>
      <c r="M36" s="99">
        <f t="shared" si="11"/>
        <v>-69370.4</v>
      </c>
      <c r="N36" s="99">
        <f t="shared" si="11"/>
        <v>-249129.1</v>
      </c>
      <c r="O36" s="99">
        <f t="shared" si="11"/>
        <v>-149643.87</v>
      </c>
      <c r="P36" s="99">
        <f t="shared" si="11"/>
        <v>-11542.670000000002</v>
      </c>
      <c r="Q36" s="99">
        <f>Q31+Q34</f>
        <v>-216414.5</v>
      </c>
      <c r="R36" s="99">
        <f t="shared" si="11"/>
        <v>-695674.33</v>
      </c>
      <c r="S36" s="99">
        <f t="shared" si="11"/>
        <v>-657879.6</v>
      </c>
      <c r="T36" s="99">
        <f t="shared" si="11"/>
        <v>-19964.82999999999</v>
      </c>
      <c r="U36" s="99">
        <f t="shared" si="11"/>
        <v>-135101.87000000002</v>
      </c>
      <c r="V36" s="99">
        <f t="shared" si="11"/>
        <v>-97823.85999999999</v>
      </c>
      <c r="W36" s="99">
        <f t="shared" si="11"/>
        <v>-446910.10000000003</v>
      </c>
      <c r="X36" s="99">
        <f t="shared" si="11"/>
        <v>0</v>
      </c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4"/>
    </row>
    <row r="37" spans="2:48" ht="18.75" customHeight="1">
      <c r="B37" s="25" t="s">
        <v>160</v>
      </c>
      <c r="C37" s="22" t="s">
        <v>70</v>
      </c>
      <c r="D37" s="33"/>
      <c r="E37" s="54">
        <f>SUM(E36)</f>
        <v>1300000</v>
      </c>
      <c r="F37" s="55"/>
      <c r="G37" s="55"/>
      <c r="H37" s="5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4">
        <f>E37</f>
        <v>1300000</v>
      </c>
    </row>
    <row r="38" spans="2:48" ht="18.75" customHeight="1">
      <c r="B38" t="s">
        <v>2</v>
      </c>
      <c r="C38" s="22" t="s">
        <v>39</v>
      </c>
      <c r="D38" s="33"/>
      <c r="E38" s="76"/>
      <c r="F38" s="5">
        <f>SUM(F36:F37)</f>
        <v>0</v>
      </c>
      <c r="G38" s="17"/>
      <c r="H38" s="17"/>
      <c r="I38" s="5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4">
        <f>SUM(G38:AU38)</f>
        <v>0</v>
      </c>
    </row>
    <row r="39" spans="2:48" ht="18.75" customHeight="1">
      <c r="B39" t="s">
        <v>3</v>
      </c>
      <c r="C39" s="22" t="s">
        <v>71</v>
      </c>
      <c r="D39" s="39" t="s">
        <v>169</v>
      </c>
      <c r="E39" s="76"/>
      <c r="F39" s="49"/>
      <c r="G39" s="5">
        <f>SUM(G36:G38)</f>
        <v>-903.37</v>
      </c>
      <c r="H39" s="9"/>
      <c r="I39" s="52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f>G39</f>
        <v>-903.37</v>
      </c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4">
        <f>SUM(H39:AU39)</f>
        <v>-903.37</v>
      </c>
    </row>
    <row r="40" spans="2:48" ht="18.75" customHeight="1">
      <c r="B40" t="s">
        <v>4</v>
      </c>
      <c r="C40" s="22" t="s">
        <v>41</v>
      </c>
      <c r="D40" s="33"/>
      <c r="E40" s="76"/>
      <c r="F40" s="49"/>
      <c r="G40" s="49"/>
      <c r="H40" s="5">
        <f>SUM(H36:H39)</f>
        <v>0</v>
      </c>
      <c r="I40" s="17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4">
        <f>SUM(I40:AU40)</f>
        <v>0</v>
      </c>
    </row>
    <row r="41" spans="2:48" ht="18.75" customHeight="1">
      <c r="B41" s="25" t="s">
        <v>85</v>
      </c>
      <c r="C41" s="22" t="s">
        <v>72</v>
      </c>
      <c r="D41" s="39" t="s">
        <v>169</v>
      </c>
      <c r="E41" s="76"/>
      <c r="F41" s="49"/>
      <c r="G41" s="49"/>
      <c r="H41" s="49"/>
      <c r="I41" s="53">
        <f>SUM(I36:I40)</f>
        <v>-27455.96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>
        <f>I41</f>
        <v>-27455.96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>
        <f>SUM(J41:AU41)</f>
        <v>-27455.96</v>
      </c>
    </row>
    <row r="42" spans="2:48" ht="18.75" customHeight="1">
      <c r="B42" t="s">
        <v>5</v>
      </c>
      <c r="C42" s="6" t="s">
        <v>111</v>
      </c>
      <c r="D42" s="34" t="s">
        <v>169</v>
      </c>
      <c r="E42" s="76"/>
      <c r="F42" s="49"/>
      <c r="G42" s="49"/>
      <c r="H42" s="49"/>
      <c r="I42" s="49"/>
      <c r="J42" s="5">
        <f>SUM(J36:J41)</f>
        <v>-13180.23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>
        <f>J42</f>
        <v>-13180.23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>
        <f>SUM(K42:AU42)</f>
        <v>-13180.23</v>
      </c>
    </row>
    <row r="43" spans="2:48" ht="18.75" customHeight="1">
      <c r="B43" t="s">
        <v>14</v>
      </c>
      <c r="C43" s="6" t="s">
        <v>51</v>
      </c>
      <c r="D43" s="34" t="s">
        <v>171</v>
      </c>
      <c r="E43" s="76"/>
      <c r="F43" s="49"/>
      <c r="G43" s="49"/>
      <c r="H43" s="49"/>
      <c r="I43" s="49"/>
      <c r="J43" s="49"/>
      <c r="K43" s="5">
        <f>SUM(K36:K42)</f>
        <v>-57480.600000000006</v>
      </c>
      <c r="L43" s="9">
        <f>$K$43*L15/$AV$15</f>
        <v>-1385.074698795181</v>
      </c>
      <c r="M43" s="9">
        <f aca="true" t="shared" si="12" ref="M43:AU43">$K$43*M15/$AV$15</f>
        <v>-692.5373493975904</v>
      </c>
      <c r="N43" s="9">
        <f t="shared" si="12"/>
        <v>-1385.074698795181</v>
      </c>
      <c r="O43" s="9">
        <f t="shared" si="12"/>
        <v>-2770.149397590362</v>
      </c>
      <c r="P43" s="9">
        <f t="shared" si="12"/>
        <v>0</v>
      </c>
      <c r="Q43" s="9">
        <f t="shared" si="12"/>
        <v>-4155.224096385543</v>
      </c>
      <c r="R43" s="9">
        <f t="shared" si="12"/>
        <v>-2770.149397590362</v>
      </c>
      <c r="S43" s="9">
        <f t="shared" si="12"/>
        <v>-2077.6120481927715</v>
      </c>
      <c r="T43" s="9">
        <f t="shared" si="12"/>
        <v>-1385.074698795181</v>
      </c>
      <c r="U43" s="9">
        <f t="shared" si="12"/>
        <v>-692.5373493975904</v>
      </c>
      <c r="V43" s="9">
        <f t="shared" si="12"/>
        <v>-3462.6867469879517</v>
      </c>
      <c r="W43" s="9">
        <f t="shared" si="12"/>
        <v>-3462.6867469879517</v>
      </c>
      <c r="X43" s="9">
        <f>$K$43*J15/$AV$15</f>
        <v>-692.5373493975904</v>
      </c>
      <c r="Y43" s="9">
        <f t="shared" si="12"/>
        <v>0</v>
      </c>
      <c r="Z43" s="9">
        <f t="shared" si="12"/>
        <v>0</v>
      </c>
      <c r="AA43" s="9">
        <f t="shared" si="12"/>
        <v>0</v>
      </c>
      <c r="AB43" s="9">
        <f t="shared" si="12"/>
        <v>0</v>
      </c>
      <c r="AC43" s="9">
        <f t="shared" si="12"/>
        <v>0</v>
      </c>
      <c r="AD43" s="9">
        <f t="shared" si="12"/>
        <v>0</v>
      </c>
      <c r="AE43" s="9">
        <f t="shared" si="12"/>
        <v>0</v>
      </c>
      <c r="AF43" s="9">
        <f t="shared" si="12"/>
        <v>0</v>
      </c>
      <c r="AG43" s="9">
        <f t="shared" si="12"/>
        <v>0</v>
      </c>
      <c r="AH43" s="9">
        <f t="shared" si="12"/>
        <v>0</v>
      </c>
      <c r="AI43" s="9">
        <f t="shared" si="12"/>
        <v>0</v>
      </c>
      <c r="AJ43" s="9">
        <f t="shared" si="12"/>
        <v>0</v>
      </c>
      <c r="AK43" s="9">
        <f t="shared" si="12"/>
        <v>0</v>
      </c>
      <c r="AL43" s="9">
        <f t="shared" si="12"/>
        <v>0</v>
      </c>
      <c r="AM43" s="9">
        <f t="shared" si="12"/>
        <v>0</v>
      </c>
      <c r="AN43" s="9">
        <f t="shared" si="12"/>
        <v>-4155.224096385543</v>
      </c>
      <c r="AO43" s="9">
        <f t="shared" si="12"/>
        <v>-1385.074698795181</v>
      </c>
      <c r="AP43" s="9">
        <f t="shared" si="12"/>
        <v>-14543.284337349398</v>
      </c>
      <c r="AQ43" s="9">
        <f t="shared" si="12"/>
        <v>-11080.597590361447</v>
      </c>
      <c r="AR43" s="9">
        <f t="shared" si="12"/>
        <v>-692.5373493975904</v>
      </c>
      <c r="AS43" s="9">
        <f t="shared" si="12"/>
        <v>0</v>
      </c>
      <c r="AT43" s="9">
        <f t="shared" si="12"/>
        <v>-692.5373493975904</v>
      </c>
      <c r="AU43" s="9">
        <f t="shared" si="12"/>
        <v>0</v>
      </c>
      <c r="AV43" s="4">
        <f>SUM(L43:AU43)</f>
        <v>-57480.600000000006</v>
      </c>
    </row>
    <row r="44" spans="2:48" ht="18.75" customHeight="1">
      <c r="B44" t="s">
        <v>10</v>
      </c>
      <c r="C44" s="6" t="s">
        <v>127</v>
      </c>
      <c r="D44" s="34" t="s">
        <v>172</v>
      </c>
      <c r="E44" s="77"/>
      <c r="F44" s="49"/>
      <c r="G44" s="49"/>
      <c r="H44" s="49"/>
      <c r="I44" s="49"/>
      <c r="J44" s="49"/>
      <c r="K44" s="49"/>
      <c r="L44" s="5">
        <f>SUM(L36:L43)</f>
        <v>-28392.24469879518</v>
      </c>
      <c r="M44" s="9">
        <f aca="true" t="shared" si="13" ref="M44:W44">$L$44*M3/$AV$3</f>
        <v>-99.27358286292021</v>
      </c>
      <c r="N44" s="9">
        <f t="shared" si="13"/>
        <v>-99.27358286292021</v>
      </c>
      <c r="O44" s="9">
        <f t="shared" si="13"/>
        <v>-99.27358286292021</v>
      </c>
      <c r="P44" s="9">
        <f t="shared" si="13"/>
        <v>0</v>
      </c>
      <c r="Q44" s="9">
        <f t="shared" si="13"/>
        <v>-694.9150800404416</v>
      </c>
      <c r="R44" s="9">
        <f t="shared" si="13"/>
        <v>-2978.2074858876063</v>
      </c>
      <c r="S44" s="9">
        <f t="shared" si="13"/>
        <v>-4665.85839455725</v>
      </c>
      <c r="T44" s="9">
        <f t="shared" si="13"/>
        <v>-496.3679143146011</v>
      </c>
      <c r="U44" s="9">
        <f t="shared" si="13"/>
        <v>-694.9150800404416</v>
      </c>
      <c r="V44" s="9">
        <f t="shared" si="13"/>
        <v>-595.6414971775213</v>
      </c>
      <c r="W44" s="9">
        <f t="shared" si="13"/>
        <v>-198.54716572584042</v>
      </c>
      <c r="X44" s="9">
        <f>$L$44*(K3+L3)/$AV$3</f>
        <v>-297.82074858876064</v>
      </c>
      <c r="Y44" s="4">
        <f aca="true" t="shared" si="14" ref="Y44:AU44">$L$44*Y3/$AV$3</f>
        <v>0</v>
      </c>
      <c r="Z44" s="4">
        <f t="shared" si="14"/>
        <v>0</v>
      </c>
      <c r="AA44" s="4">
        <f t="shared" si="14"/>
        <v>0</v>
      </c>
      <c r="AB44" s="4">
        <f t="shared" si="14"/>
        <v>0</v>
      </c>
      <c r="AC44" s="4">
        <f t="shared" si="14"/>
        <v>0</v>
      </c>
      <c r="AD44" s="4">
        <f t="shared" si="14"/>
        <v>0</v>
      </c>
      <c r="AE44" s="4">
        <f t="shared" si="14"/>
        <v>0</v>
      </c>
      <c r="AF44" s="4">
        <f t="shared" si="14"/>
        <v>0</v>
      </c>
      <c r="AG44" s="4">
        <f t="shared" si="14"/>
        <v>-496.3679143146011</v>
      </c>
      <c r="AH44" s="4">
        <f t="shared" si="14"/>
        <v>0</v>
      </c>
      <c r="AI44" s="4">
        <f t="shared" si="14"/>
        <v>-1886.1980743954841</v>
      </c>
      <c r="AJ44" s="4">
        <f t="shared" si="14"/>
        <v>-99.27358286292021</v>
      </c>
      <c r="AK44" s="4">
        <f t="shared" si="14"/>
        <v>0</v>
      </c>
      <c r="AL44" s="4">
        <f t="shared" si="14"/>
        <v>0</v>
      </c>
      <c r="AM44" s="4">
        <f t="shared" si="14"/>
        <v>0</v>
      </c>
      <c r="AN44" s="4">
        <f t="shared" si="14"/>
        <v>-198.54716572584042</v>
      </c>
      <c r="AO44" s="4">
        <f t="shared" si="14"/>
        <v>0</v>
      </c>
      <c r="AP44" s="4">
        <f t="shared" si="14"/>
        <v>-7941.886629033617</v>
      </c>
      <c r="AQ44" s="4">
        <f t="shared" si="14"/>
        <v>-6154.962137501054</v>
      </c>
      <c r="AR44" s="4">
        <f t="shared" si="14"/>
        <v>-198.54716572584042</v>
      </c>
      <c r="AS44" s="4">
        <f t="shared" si="14"/>
        <v>0</v>
      </c>
      <c r="AT44" s="4">
        <f t="shared" si="14"/>
        <v>-496.3679143146011</v>
      </c>
      <c r="AU44" s="4">
        <f t="shared" si="14"/>
        <v>0</v>
      </c>
      <c r="AV44" s="4">
        <f>SUM(M44:AU44)</f>
        <v>-28392.244698795188</v>
      </c>
    </row>
    <row r="45" spans="2:48" ht="18.75" customHeight="1">
      <c r="B45" t="s">
        <v>10</v>
      </c>
      <c r="C45" s="6" t="s">
        <v>77</v>
      </c>
      <c r="D45" s="34" t="s">
        <v>172</v>
      </c>
      <c r="E45" s="76"/>
      <c r="F45" s="49"/>
      <c r="G45" s="49"/>
      <c r="H45" s="49"/>
      <c r="I45" s="49"/>
      <c r="J45" s="49"/>
      <c r="K45" s="49"/>
      <c r="L45" s="49"/>
      <c r="M45" s="5">
        <f>SUM(M36:M44)</f>
        <v>-70162.21093226051</v>
      </c>
      <c r="N45" s="9">
        <f aca="true" t="shared" si="15" ref="N45:W45">$M$45*N3/$AV$3</f>
        <v>-245.32241584706472</v>
      </c>
      <c r="O45" s="9">
        <f t="shared" si="15"/>
        <v>-245.32241584706472</v>
      </c>
      <c r="P45" s="9">
        <f t="shared" si="15"/>
        <v>0</v>
      </c>
      <c r="Q45" s="9">
        <f t="shared" si="15"/>
        <v>-1717.2569109294532</v>
      </c>
      <c r="R45" s="9">
        <f t="shared" si="15"/>
        <v>-7359.6724754119405</v>
      </c>
      <c r="S45" s="9">
        <f t="shared" si="15"/>
        <v>-11530.153544812041</v>
      </c>
      <c r="T45" s="9">
        <f t="shared" si="15"/>
        <v>-1226.6120792353236</v>
      </c>
      <c r="U45" s="9">
        <f t="shared" si="15"/>
        <v>-1717.2569109294532</v>
      </c>
      <c r="V45" s="9">
        <f t="shared" si="15"/>
        <v>-1471.9344950823884</v>
      </c>
      <c r="W45" s="9">
        <f t="shared" si="15"/>
        <v>-490.64483169412944</v>
      </c>
      <c r="X45" s="9">
        <f>$M$45*(K3+L3+M3)/$AV$3</f>
        <v>-981.2896633882589</v>
      </c>
      <c r="Y45" s="4">
        <f aca="true" t="shared" si="16" ref="Y45:AU45">$M$45*Y3/$AV$3</f>
        <v>0</v>
      </c>
      <c r="Z45" s="4">
        <f t="shared" si="16"/>
        <v>0</v>
      </c>
      <c r="AA45" s="4">
        <f t="shared" si="16"/>
        <v>0</v>
      </c>
      <c r="AB45" s="4">
        <f t="shared" si="16"/>
        <v>0</v>
      </c>
      <c r="AC45" s="4">
        <f t="shared" si="16"/>
        <v>0</v>
      </c>
      <c r="AD45" s="4">
        <f t="shared" si="16"/>
        <v>0</v>
      </c>
      <c r="AE45" s="4">
        <f t="shared" si="16"/>
        <v>0</v>
      </c>
      <c r="AF45" s="4">
        <f t="shared" si="16"/>
        <v>0</v>
      </c>
      <c r="AG45" s="4">
        <f t="shared" si="16"/>
        <v>-1226.6120792353236</v>
      </c>
      <c r="AH45" s="4">
        <f t="shared" si="16"/>
        <v>0</v>
      </c>
      <c r="AI45" s="4">
        <f t="shared" si="16"/>
        <v>-4661.12590109423</v>
      </c>
      <c r="AJ45" s="4">
        <f t="shared" si="16"/>
        <v>-245.32241584706472</v>
      </c>
      <c r="AK45" s="4">
        <f t="shared" si="16"/>
        <v>0</v>
      </c>
      <c r="AL45" s="4">
        <f t="shared" si="16"/>
        <v>0</v>
      </c>
      <c r="AM45" s="4">
        <f t="shared" si="16"/>
        <v>0</v>
      </c>
      <c r="AN45" s="4">
        <f t="shared" si="16"/>
        <v>-490.64483169412944</v>
      </c>
      <c r="AO45" s="4">
        <f t="shared" si="16"/>
        <v>0</v>
      </c>
      <c r="AP45" s="4">
        <f t="shared" si="16"/>
        <v>-19625.793267765177</v>
      </c>
      <c r="AQ45" s="4">
        <f t="shared" si="16"/>
        <v>-15209.989782518014</v>
      </c>
      <c r="AR45" s="4">
        <f t="shared" si="16"/>
        <v>-490.64483169412944</v>
      </c>
      <c r="AS45" s="4">
        <f t="shared" si="16"/>
        <v>0</v>
      </c>
      <c r="AT45" s="4">
        <f t="shared" si="16"/>
        <v>-1226.6120792353236</v>
      </c>
      <c r="AU45" s="4">
        <f t="shared" si="16"/>
        <v>0</v>
      </c>
      <c r="AV45" s="4">
        <f>SUM(N45:AU45)</f>
        <v>-70162.2109322605</v>
      </c>
    </row>
    <row r="46" spans="2:48" ht="18.75" customHeight="1">
      <c r="B46" t="s">
        <v>99</v>
      </c>
      <c r="C46" s="6" t="s">
        <v>74</v>
      </c>
      <c r="D46" s="34" t="s">
        <v>172</v>
      </c>
      <c r="E46" s="77"/>
      <c r="F46" s="49"/>
      <c r="G46" s="49"/>
      <c r="H46" s="49"/>
      <c r="I46" s="49"/>
      <c r="J46" s="49"/>
      <c r="K46" s="49"/>
      <c r="L46" s="49"/>
      <c r="M46" s="49"/>
      <c r="N46" s="5">
        <f>SUM(N36:N45)</f>
        <v>-250858.77069750518</v>
      </c>
      <c r="O46" s="24">
        <f aca="true" t="shared" si="17" ref="O46:W46">$N$46*O3/$AV$3</f>
        <v>-877.1285688723957</v>
      </c>
      <c r="P46" s="24">
        <f t="shared" si="17"/>
        <v>0</v>
      </c>
      <c r="Q46" s="24">
        <f t="shared" si="17"/>
        <v>-6139.89998210677</v>
      </c>
      <c r="R46" s="24">
        <f t="shared" si="17"/>
        <v>-26313.857066171873</v>
      </c>
      <c r="S46" s="24">
        <f t="shared" si="17"/>
        <v>-41225.0427370026</v>
      </c>
      <c r="T46" s="24">
        <f t="shared" si="17"/>
        <v>-4385.642844361979</v>
      </c>
      <c r="U46" s="24">
        <f t="shared" si="17"/>
        <v>-6139.89998210677</v>
      </c>
      <c r="V46" s="24">
        <f t="shared" si="17"/>
        <v>-5262.771413234374</v>
      </c>
      <c r="W46" s="24">
        <f t="shared" si="17"/>
        <v>-1754.2571377447914</v>
      </c>
      <c r="X46" s="24">
        <f>$N$46*(K3+L3+M3+N3)/$AV$3</f>
        <v>-4385.642844361979</v>
      </c>
      <c r="Y46" s="4">
        <f aca="true" t="shared" si="18" ref="Y46:AU46">$N$46*Y3/$AV$3</f>
        <v>0</v>
      </c>
      <c r="Z46" s="4">
        <f t="shared" si="18"/>
        <v>0</v>
      </c>
      <c r="AA46" s="4">
        <f t="shared" si="18"/>
        <v>0</v>
      </c>
      <c r="AB46" s="4">
        <f t="shared" si="18"/>
        <v>0</v>
      </c>
      <c r="AC46" s="4">
        <f t="shared" si="18"/>
        <v>0</v>
      </c>
      <c r="AD46" s="4">
        <f t="shared" si="18"/>
        <v>0</v>
      </c>
      <c r="AE46" s="4">
        <f t="shared" si="18"/>
        <v>0</v>
      </c>
      <c r="AF46" s="4">
        <f t="shared" si="18"/>
        <v>0</v>
      </c>
      <c r="AG46" s="4">
        <f t="shared" si="18"/>
        <v>-4385.642844361979</v>
      </c>
      <c r="AH46" s="4">
        <f t="shared" si="18"/>
        <v>0</v>
      </c>
      <c r="AI46" s="4">
        <f t="shared" si="18"/>
        <v>-16665.442808575517</v>
      </c>
      <c r="AJ46" s="4">
        <f t="shared" si="18"/>
        <v>-877.1285688723957</v>
      </c>
      <c r="AK46" s="4">
        <f t="shared" si="18"/>
        <v>0</v>
      </c>
      <c r="AL46" s="4">
        <f t="shared" si="18"/>
        <v>0</v>
      </c>
      <c r="AM46" s="4">
        <f t="shared" si="18"/>
        <v>0</v>
      </c>
      <c r="AN46" s="4">
        <f t="shared" si="18"/>
        <v>-1754.2571377447914</v>
      </c>
      <c r="AO46" s="4">
        <f t="shared" si="18"/>
        <v>0</v>
      </c>
      <c r="AP46" s="4">
        <f t="shared" si="18"/>
        <v>-70170.28550979166</v>
      </c>
      <c r="AQ46" s="4">
        <f t="shared" si="18"/>
        <v>-54381.971270088536</v>
      </c>
      <c r="AR46" s="4">
        <f t="shared" si="18"/>
        <v>-1754.2571377447914</v>
      </c>
      <c r="AS46" s="4">
        <f t="shared" si="18"/>
        <v>0</v>
      </c>
      <c r="AT46" s="4">
        <f t="shared" si="18"/>
        <v>-4385.642844361979</v>
      </c>
      <c r="AU46" s="4">
        <f t="shared" si="18"/>
        <v>0</v>
      </c>
      <c r="AV46" s="4">
        <f>SUM(O46:AU46)</f>
        <v>-250858.7706975052</v>
      </c>
    </row>
    <row r="47" spans="2:48" ht="18.75" customHeight="1">
      <c r="B47" t="s">
        <v>7</v>
      </c>
      <c r="C47" s="6" t="s">
        <v>73</v>
      </c>
      <c r="D47" s="34" t="s">
        <v>173</v>
      </c>
      <c r="E47" s="76"/>
      <c r="F47" s="49"/>
      <c r="G47" s="49"/>
      <c r="H47" s="49"/>
      <c r="I47" s="49"/>
      <c r="J47" s="49"/>
      <c r="K47" s="49"/>
      <c r="L47" s="49"/>
      <c r="M47" s="49"/>
      <c r="N47" s="49"/>
      <c r="O47" s="5">
        <f>SUM(O36:O46)</f>
        <v>-153635.74396517276</v>
      </c>
      <c r="P47" s="24">
        <f aca="true" t="shared" si="19" ref="P47:W47">$O$47*P6/$AV$6</f>
        <v>-230.45361594775915</v>
      </c>
      <c r="Q47" s="24">
        <f t="shared" si="19"/>
        <v>-3764.075727146733</v>
      </c>
      <c r="R47" s="24">
        <f t="shared" si="19"/>
        <v>-3717.9850039571807</v>
      </c>
      <c r="S47" s="24">
        <f t="shared" si="19"/>
        <v>-3917.711471111905</v>
      </c>
      <c r="T47" s="24">
        <f t="shared" si="19"/>
        <v>-1628.5388860308312</v>
      </c>
      <c r="U47" s="24">
        <f t="shared" si="19"/>
        <v>-3241.7141976651455</v>
      </c>
      <c r="V47" s="24">
        <f t="shared" si="19"/>
        <v>-2104.809692322867</v>
      </c>
      <c r="W47" s="24">
        <f t="shared" si="19"/>
        <v>-6606.336990502428</v>
      </c>
      <c r="X47" s="24">
        <f>$O$47*(E6+F6+G6+H6+I6+J6+K6+L6+M6+N6+O6)/$AV$6</f>
        <v>-8772.600980411366</v>
      </c>
      <c r="Y47" s="4">
        <f aca="true" t="shared" si="20" ref="Y47:AU47">$O$47*Y6/$AV$6</f>
        <v>-906.4508893945193</v>
      </c>
      <c r="Z47" s="4">
        <f t="shared" si="20"/>
        <v>-476.27080629203556</v>
      </c>
      <c r="AA47" s="4">
        <f t="shared" si="20"/>
        <v>-76.81787198258638</v>
      </c>
      <c r="AB47" s="4">
        <f t="shared" si="20"/>
        <v>-906.4508893945193</v>
      </c>
      <c r="AC47" s="4">
        <f t="shared" si="20"/>
        <v>-1029.3594845666576</v>
      </c>
      <c r="AD47" s="4">
        <f t="shared" si="20"/>
        <v>-1213.722377324865</v>
      </c>
      <c r="AE47" s="4">
        <f t="shared" si="20"/>
        <v>-1689.9931836169003</v>
      </c>
      <c r="AF47" s="4">
        <f t="shared" si="20"/>
        <v>-199.7264671547246</v>
      </c>
      <c r="AG47" s="4">
        <f t="shared" si="20"/>
        <v>-9402.507530668572</v>
      </c>
      <c r="AH47" s="4">
        <f t="shared" si="20"/>
        <v>-2980.5334329243515</v>
      </c>
      <c r="AI47" s="4">
        <f t="shared" si="20"/>
        <v>-3164.896325682559</v>
      </c>
      <c r="AJ47" s="4">
        <f t="shared" si="20"/>
        <v>-1382.7216956865548</v>
      </c>
      <c r="AK47" s="4">
        <f t="shared" si="20"/>
        <v>-1321.2673981004857</v>
      </c>
      <c r="AL47" s="4">
        <f t="shared" si="20"/>
        <v>-1275.176674910934</v>
      </c>
      <c r="AM47" s="4">
        <f t="shared" si="20"/>
        <v>-1382.7216956865548</v>
      </c>
      <c r="AN47" s="4">
        <f t="shared" si="20"/>
        <v>-3410.7135160268354</v>
      </c>
      <c r="AO47" s="4">
        <f t="shared" si="20"/>
        <v>-3595.0764087850425</v>
      </c>
      <c r="AP47" s="4">
        <f t="shared" si="20"/>
        <v>-43909.09562524637</v>
      </c>
      <c r="AQ47" s="4">
        <f t="shared" si="20"/>
        <v>-34521.95166897432</v>
      </c>
      <c r="AR47" s="4">
        <f t="shared" si="20"/>
        <v>-2565.716924218385</v>
      </c>
      <c r="AS47" s="4">
        <f t="shared" si="20"/>
        <v>-92.18144637910365</v>
      </c>
      <c r="AT47" s="4">
        <f t="shared" si="20"/>
        <v>-2811.5341145626617</v>
      </c>
      <c r="AU47" s="4">
        <f t="shared" si="20"/>
        <v>-1336.6309724970029</v>
      </c>
      <c r="AV47" s="4">
        <f>SUM(P47:AU47)</f>
        <v>-153635.74396517276</v>
      </c>
    </row>
    <row r="48" spans="2:48" ht="18.75" customHeight="1">
      <c r="B48" t="s">
        <v>8</v>
      </c>
      <c r="C48" s="6" t="s">
        <v>75</v>
      </c>
      <c r="D48" s="34" t="s">
        <v>178</v>
      </c>
      <c r="E48" s="76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">
        <f>SUM(P36:P47)</f>
        <v>-11773.123615947761</v>
      </c>
      <c r="Q48" s="24">
        <f aca="true" t="shared" si="21" ref="Q48:AU48">$P$48*Q14/$AV$14</f>
        <v>0</v>
      </c>
      <c r="R48" s="24">
        <f t="shared" si="21"/>
        <v>0</v>
      </c>
      <c r="S48" s="24">
        <f t="shared" si="21"/>
        <v>0</v>
      </c>
      <c r="T48" s="24">
        <f t="shared" si="21"/>
        <v>0</v>
      </c>
      <c r="U48" s="24">
        <f t="shared" si="21"/>
        <v>-111.84467435150373</v>
      </c>
      <c r="V48" s="24">
        <f t="shared" si="21"/>
        <v>-4372.538110962999</v>
      </c>
      <c r="W48" s="24">
        <f t="shared" si="21"/>
        <v>0</v>
      </c>
      <c r="X48" s="24">
        <f t="shared" si="21"/>
        <v>0</v>
      </c>
      <c r="Y48" s="4">
        <f t="shared" si="21"/>
        <v>0</v>
      </c>
      <c r="Z48" s="4">
        <f t="shared" si="21"/>
        <v>0</v>
      </c>
      <c r="AA48" s="4">
        <f t="shared" si="21"/>
        <v>0</v>
      </c>
      <c r="AB48" s="4">
        <f t="shared" si="21"/>
        <v>0</v>
      </c>
      <c r="AC48" s="4">
        <f t="shared" si="21"/>
        <v>0</v>
      </c>
      <c r="AD48" s="4">
        <f t="shared" si="21"/>
        <v>0</v>
      </c>
      <c r="AE48" s="4">
        <f t="shared" si="21"/>
        <v>0</v>
      </c>
      <c r="AF48" s="4">
        <f t="shared" si="21"/>
        <v>0</v>
      </c>
      <c r="AG48" s="4">
        <f t="shared" si="21"/>
        <v>0</v>
      </c>
      <c r="AH48" s="4">
        <f t="shared" si="21"/>
        <v>0</v>
      </c>
      <c r="AI48" s="4">
        <f t="shared" si="21"/>
        <v>0</v>
      </c>
      <c r="AJ48" s="4">
        <f t="shared" si="21"/>
        <v>0</v>
      </c>
      <c r="AK48" s="4">
        <f t="shared" si="21"/>
        <v>0</v>
      </c>
      <c r="AL48" s="4">
        <f t="shared" si="21"/>
        <v>0</v>
      </c>
      <c r="AM48" s="4">
        <f t="shared" si="21"/>
        <v>0</v>
      </c>
      <c r="AN48" s="4">
        <f t="shared" si="21"/>
        <v>-2579.491384254154</v>
      </c>
      <c r="AO48" s="4">
        <f t="shared" si="21"/>
        <v>0</v>
      </c>
      <c r="AP48" s="4">
        <f t="shared" si="21"/>
        <v>-2354.6247231895522</v>
      </c>
      <c r="AQ48" s="4">
        <f t="shared" si="21"/>
        <v>-2354.6247231895522</v>
      </c>
      <c r="AR48" s="4">
        <f t="shared" si="21"/>
        <v>0</v>
      </c>
      <c r="AS48" s="4">
        <f t="shared" si="21"/>
        <v>0</v>
      </c>
      <c r="AT48" s="4">
        <f t="shared" si="21"/>
        <v>0</v>
      </c>
      <c r="AU48" s="4">
        <f t="shared" si="21"/>
        <v>0</v>
      </c>
      <c r="AV48" s="4">
        <f>SUM(Q48:AU48)</f>
        <v>-11773.123615947761</v>
      </c>
    </row>
    <row r="49" spans="2:48" ht="18.75" customHeight="1">
      <c r="B49" t="s">
        <v>9</v>
      </c>
      <c r="C49" s="6" t="s">
        <v>76</v>
      </c>
      <c r="D49" s="34" t="s">
        <v>175</v>
      </c>
      <c r="E49" s="78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13">
        <f>SUM(Q36:Q48)</f>
        <v>-232885.87179660893</v>
      </c>
      <c r="R49" s="56">
        <f aca="true" t="shared" si="22" ref="R49:W49">$Q$49*R8/$AV$8</f>
        <v>-5263.220702603361</v>
      </c>
      <c r="S49" s="56">
        <f t="shared" si="22"/>
        <v>-652.080441030505</v>
      </c>
      <c r="T49" s="56">
        <f t="shared" si="22"/>
        <v>-721.9462025694877</v>
      </c>
      <c r="U49" s="56">
        <f t="shared" si="22"/>
        <v>-1769.9326256542279</v>
      </c>
      <c r="V49" s="56">
        <f t="shared" si="22"/>
        <v>-5868.723969274545</v>
      </c>
      <c r="W49" s="56">
        <f t="shared" si="22"/>
        <v>-8640.06584365419</v>
      </c>
      <c r="X49" s="56">
        <f>$Q$49*(I8+J8+M8+K8+N8+O8+P8)/$AV$8</f>
        <v>-49954.01950037262</v>
      </c>
      <c r="Y49" s="66">
        <f aca="true" t="shared" si="23" ref="Y49:AU49">$Q$49*Y8/$AV$8</f>
        <v>0</v>
      </c>
      <c r="Z49" s="66">
        <f t="shared" si="23"/>
        <v>-163.02011025762624</v>
      </c>
      <c r="AA49" s="66">
        <f t="shared" si="23"/>
        <v>-209.59728461694803</v>
      </c>
      <c r="AB49" s="66">
        <f t="shared" si="23"/>
        <v>-2515.1674154033767</v>
      </c>
      <c r="AC49" s="66">
        <f t="shared" si="23"/>
        <v>-2864.49622309829</v>
      </c>
      <c r="AD49" s="66">
        <f t="shared" si="23"/>
        <v>-2911.073397457612</v>
      </c>
      <c r="AE49" s="66">
        <f t="shared" si="23"/>
        <v>-3982.348407722013</v>
      </c>
      <c r="AF49" s="66">
        <f t="shared" si="23"/>
        <v>-23.288587179660894</v>
      </c>
      <c r="AG49" s="66">
        <f t="shared" si="23"/>
        <v>-116.44293589830447</v>
      </c>
      <c r="AH49" s="66">
        <f t="shared" si="23"/>
        <v>-11970.333810345699</v>
      </c>
      <c r="AI49" s="66">
        <f t="shared" si="23"/>
        <v>0</v>
      </c>
      <c r="AJ49" s="66">
        <f t="shared" si="23"/>
        <v>-884.9663128271139</v>
      </c>
      <c r="AK49" s="66">
        <f t="shared" si="23"/>
        <v>-22752.949674528692</v>
      </c>
      <c r="AL49" s="66">
        <f t="shared" si="23"/>
        <v>0</v>
      </c>
      <c r="AM49" s="66">
        <f t="shared" si="23"/>
        <v>-5775.569620555902</v>
      </c>
      <c r="AN49" s="66">
        <f t="shared" si="23"/>
        <v>-2887.784810277951</v>
      </c>
      <c r="AO49" s="66">
        <f t="shared" si="23"/>
        <v>-45762.07380803366</v>
      </c>
      <c r="AP49" s="66">
        <f t="shared" si="23"/>
        <v>-28481.942120725274</v>
      </c>
      <c r="AQ49" s="66">
        <f t="shared" si="23"/>
        <v>-26968.183954047316</v>
      </c>
      <c r="AR49" s="66">
        <f t="shared" si="23"/>
        <v>0</v>
      </c>
      <c r="AS49" s="66">
        <f t="shared" si="23"/>
        <v>-186.30869743728715</v>
      </c>
      <c r="AT49" s="66">
        <f t="shared" si="23"/>
        <v>-1560.33534103728</v>
      </c>
      <c r="AU49" s="66">
        <f t="shared" si="23"/>
        <v>0</v>
      </c>
      <c r="AV49" s="4">
        <f>SUM(R49:AU49)</f>
        <v>-232885.871796609</v>
      </c>
    </row>
    <row r="50" spans="2:48" ht="18.75" customHeight="1">
      <c r="B50" t="s">
        <v>11</v>
      </c>
      <c r="C50" s="6" t="s">
        <v>48</v>
      </c>
      <c r="D50" s="34" t="s">
        <v>176</v>
      </c>
      <c r="E50" s="76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">
        <f>SUM(R36:R49)</f>
        <v>-744077.4221316221</v>
      </c>
      <c r="S50" s="9">
        <f aca="true" t="shared" si="24" ref="S50:AU50">$R$50*S9/$AV$9</f>
        <v>0</v>
      </c>
      <c r="T50" s="9">
        <f t="shared" si="24"/>
        <v>0</v>
      </c>
      <c r="U50" s="9">
        <f t="shared" si="24"/>
        <v>-1562.5625864764063</v>
      </c>
      <c r="V50" s="9">
        <f t="shared" si="24"/>
        <v>-1041.7083909842709</v>
      </c>
      <c r="W50" s="9">
        <f t="shared" si="24"/>
        <v>-17932.265873372093</v>
      </c>
      <c r="X50" s="9">
        <f t="shared" si="24"/>
        <v>0</v>
      </c>
      <c r="Y50" s="4">
        <f t="shared" si="24"/>
        <v>0</v>
      </c>
      <c r="Z50" s="4">
        <f t="shared" si="24"/>
        <v>0</v>
      </c>
      <c r="AA50" s="4">
        <f t="shared" si="24"/>
        <v>0</v>
      </c>
      <c r="AB50" s="4">
        <f t="shared" si="24"/>
        <v>0</v>
      </c>
      <c r="AC50" s="4">
        <f t="shared" si="24"/>
        <v>0</v>
      </c>
      <c r="AD50" s="4">
        <f t="shared" si="24"/>
        <v>0</v>
      </c>
      <c r="AE50" s="4">
        <f t="shared" si="24"/>
        <v>0</v>
      </c>
      <c r="AF50" s="4">
        <f t="shared" si="24"/>
        <v>0</v>
      </c>
      <c r="AG50" s="4">
        <f t="shared" si="24"/>
        <v>-163771.44061117002</v>
      </c>
      <c r="AH50" s="4">
        <f t="shared" si="24"/>
        <v>0</v>
      </c>
      <c r="AI50" s="4">
        <f t="shared" si="24"/>
        <v>0</v>
      </c>
      <c r="AJ50" s="4">
        <f t="shared" si="24"/>
        <v>0</v>
      </c>
      <c r="AK50" s="4">
        <f t="shared" si="24"/>
        <v>0</v>
      </c>
      <c r="AL50" s="4">
        <f t="shared" si="24"/>
        <v>0</v>
      </c>
      <c r="AM50" s="4">
        <f t="shared" si="24"/>
        <v>0</v>
      </c>
      <c r="AN50" s="4">
        <f t="shared" si="24"/>
        <v>-2157.824524181704</v>
      </c>
      <c r="AO50" s="4">
        <f t="shared" si="24"/>
        <v>0</v>
      </c>
      <c r="AP50" s="4">
        <f t="shared" si="24"/>
        <v>-307229.56759814674</v>
      </c>
      <c r="AQ50" s="4">
        <f t="shared" si="24"/>
        <v>-217270.60726243365</v>
      </c>
      <c r="AR50" s="4">
        <f t="shared" si="24"/>
        <v>-1116.116133197433</v>
      </c>
      <c r="AS50" s="4">
        <f t="shared" si="24"/>
        <v>0</v>
      </c>
      <c r="AT50" s="4">
        <f t="shared" si="24"/>
        <v>-23959.29299263823</v>
      </c>
      <c r="AU50" s="4">
        <f t="shared" si="24"/>
        <v>-8036.036159021519</v>
      </c>
      <c r="AV50" s="4">
        <f>SUM(S50:AU50)</f>
        <v>-744077.4221316221</v>
      </c>
    </row>
    <row r="51" spans="2:48" ht="18.75" customHeight="1">
      <c r="B51" t="s">
        <v>12</v>
      </c>
      <c r="C51" s="6" t="s">
        <v>78</v>
      </c>
      <c r="D51" s="34" t="s">
        <v>177</v>
      </c>
      <c r="E51" s="76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5">
        <f>SUM(S36:S50)</f>
        <v>-721948.058636707</v>
      </c>
      <c r="T51" s="9">
        <f aca="true" t="shared" si="25" ref="T51:AU51">$S$51*T10/$AV$10</f>
        <v>0</v>
      </c>
      <c r="U51" s="9">
        <f t="shared" si="25"/>
        <v>0</v>
      </c>
      <c r="V51" s="9">
        <f t="shared" si="25"/>
        <v>0</v>
      </c>
      <c r="W51" s="9">
        <f t="shared" si="25"/>
        <v>0</v>
      </c>
      <c r="X51" s="9">
        <f t="shared" si="25"/>
        <v>0</v>
      </c>
      <c r="Y51" s="4">
        <f t="shared" si="25"/>
        <v>0</v>
      </c>
      <c r="Z51" s="4">
        <f t="shared" si="25"/>
        <v>0</v>
      </c>
      <c r="AA51" s="4">
        <f t="shared" si="25"/>
        <v>0</v>
      </c>
      <c r="AB51" s="4">
        <f t="shared" si="25"/>
        <v>0</v>
      </c>
      <c r="AC51" s="4">
        <f t="shared" si="25"/>
        <v>-3091.854640842428</v>
      </c>
      <c r="AD51" s="4">
        <f t="shared" si="25"/>
        <v>-4637.781961263642</v>
      </c>
      <c r="AE51" s="4">
        <f t="shared" si="25"/>
        <v>0</v>
      </c>
      <c r="AF51" s="4">
        <f t="shared" si="25"/>
        <v>0</v>
      </c>
      <c r="AG51" s="4">
        <f t="shared" si="25"/>
        <v>0</v>
      </c>
      <c r="AH51" s="4">
        <f t="shared" si="25"/>
        <v>0</v>
      </c>
      <c r="AI51" s="4">
        <f t="shared" si="25"/>
        <v>0</v>
      </c>
      <c r="AJ51" s="4">
        <f t="shared" si="25"/>
        <v>0</v>
      </c>
      <c r="AK51" s="4">
        <f t="shared" si="25"/>
        <v>-4637.781961263642</v>
      </c>
      <c r="AL51" s="4">
        <f t="shared" si="25"/>
        <v>0</v>
      </c>
      <c r="AM51" s="4">
        <f t="shared" si="25"/>
        <v>0</v>
      </c>
      <c r="AN51" s="4">
        <f t="shared" si="25"/>
        <v>-9662.045752632588</v>
      </c>
      <c r="AO51" s="4">
        <f t="shared" si="25"/>
        <v>-4637.781961263642</v>
      </c>
      <c r="AP51" s="4">
        <f t="shared" si="25"/>
        <v>-355563.2836968793</v>
      </c>
      <c r="AQ51" s="4">
        <f t="shared" si="25"/>
        <v>-311117.8732347694</v>
      </c>
      <c r="AR51" s="4">
        <f t="shared" si="25"/>
        <v>-10048.527582737892</v>
      </c>
      <c r="AS51" s="4">
        <f t="shared" si="25"/>
        <v>0</v>
      </c>
      <c r="AT51" s="4">
        <f t="shared" si="25"/>
        <v>-18551.12784505457</v>
      </c>
      <c r="AU51" s="4">
        <f t="shared" si="25"/>
        <v>0</v>
      </c>
      <c r="AV51" s="4">
        <f>SUM(T51:AU51)</f>
        <v>-721948.0586367071</v>
      </c>
    </row>
    <row r="52" spans="2:48" ht="18.75" customHeight="1">
      <c r="B52" t="s">
        <v>13</v>
      </c>
      <c r="C52" s="6" t="s">
        <v>79</v>
      </c>
      <c r="D52" s="34" t="s">
        <v>179</v>
      </c>
      <c r="E52" s="76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">
        <f>SUM(T36:T51)</f>
        <v>-29809.012625307398</v>
      </c>
      <c r="U52" s="24">
        <f aca="true" t="shared" si="26" ref="U52:AU52">$T$52*U11/$AV$11</f>
        <v>0</v>
      </c>
      <c r="V52" s="24">
        <f t="shared" si="26"/>
        <v>-5386.488581393047</v>
      </c>
      <c r="W52" s="24">
        <f t="shared" si="26"/>
        <v>-6233.064539951777</v>
      </c>
      <c r="X52" s="24">
        <f>$T$52*(X11+K11+L11+M11+N11+O11+Q11)/$AV$11</f>
        <v>-2539.7278756761903</v>
      </c>
      <c r="Y52" s="24">
        <f t="shared" si="26"/>
        <v>-6602.696296505589</v>
      </c>
      <c r="Z52" s="24">
        <f t="shared" si="26"/>
        <v>0</v>
      </c>
      <c r="AA52" s="24">
        <f t="shared" si="26"/>
        <v>0</v>
      </c>
      <c r="AB52" s="24">
        <f t="shared" si="26"/>
        <v>0</v>
      </c>
      <c r="AC52" s="24">
        <f t="shared" si="26"/>
        <v>0</v>
      </c>
      <c r="AD52" s="24">
        <f t="shared" si="26"/>
        <v>0</v>
      </c>
      <c r="AE52" s="24">
        <f t="shared" si="26"/>
        <v>0</v>
      </c>
      <c r="AF52" s="24">
        <f t="shared" si="26"/>
        <v>0</v>
      </c>
      <c r="AG52" s="24">
        <f t="shared" si="26"/>
        <v>-6701.066038169103</v>
      </c>
      <c r="AH52" s="24">
        <f t="shared" si="26"/>
        <v>-545.5049310431253</v>
      </c>
      <c r="AI52" s="24">
        <f t="shared" si="26"/>
        <v>0</v>
      </c>
      <c r="AJ52" s="24">
        <f t="shared" si="26"/>
        <v>-1213.226813850011</v>
      </c>
      <c r="AK52" s="24">
        <f t="shared" si="26"/>
        <v>0</v>
      </c>
      <c r="AL52" s="24">
        <f t="shared" si="26"/>
        <v>0</v>
      </c>
      <c r="AM52" s="24">
        <f t="shared" si="26"/>
        <v>0</v>
      </c>
      <c r="AN52" s="24">
        <f t="shared" si="26"/>
        <v>0</v>
      </c>
      <c r="AO52" s="24">
        <f t="shared" si="26"/>
        <v>0</v>
      </c>
      <c r="AP52" s="24">
        <f t="shared" si="26"/>
        <v>-476.9442020049184</v>
      </c>
      <c r="AQ52" s="24">
        <f t="shared" si="26"/>
        <v>-110.29334671363738</v>
      </c>
      <c r="AR52" s="24">
        <f t="shared" si="26"/>
        <v>0</v>
      </c>
      <c r="AS52" s="24">
        <f t="shared" si="26"/>
        <v>0</v>
      </c>
      <c r="AT52" s="24">
        <f t="shared" si="26"/>
        <v>0</v>
      </c>
      <c r="AU52" s="24">
        <f t="shared" si="26"/>
        <v>0</v>
      </c>
      <c r="AV52" s="4">
        <f>SUM(U52:AU52)</f>
        <v>-29809.012625307398</v>
      </c>
    </row>
    <row r="53" spans="2:48" ht="18.75" customHeight="1">
      <c r="B53" t="s">
        <v>15</v>
      </c>
      <c r="C53" s="6" t="s">
        <v>113</v>
      </c>
      <c r="D53" s="34" t="s">
        <v>174</v>
      </c>
      <c r="E53" s="77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">
        <f>SUM(U36:U52)</f>
        <v>-151032.53340662157</v>
      </c>
      <c r="V53" s="24">
        <f>$U$53*V7/$AV$7</f>
        <v>-709.8529070111214</v>
      </c>
      <c r="W53" s="24">
        <f>$U$53*W7/$AV$7</f>
        <v>0</v>
      </c>
      <c r="X53" s="24">
        <f>$U$53*(Q7+S7)/$AV$7</f>
        <v>-7551.6266703310785</v>
      </c>
      <c r="Y53" s="4">
        <f aca="true" t="shared" si="27" ref="Y53:AU53">$U$53*Y7/$AV$7</f>
        <v>0</v>
      </c>
      <c r="Z53" s="4">
        <f t="shared" si="27"/>
        <v>0</v>
      </c>
      <c r="AA53" s="4">
        <f t="shared" si="27"/>
        <v>0</v>
      </c>
      <c r="AB53" s="4">
        <f t="shared" si="27"/>
        <v>0</v>
      </c>
      <c r="AC53" s="4">
        <f t="shared" si="27"/>
        <v>0</v>
      </c>
      <c r="AD53" s="4">
        <f t="shared" si="27"/>
        <v>0</v>
      </c>
      <c r="AE53" s="4">
        <f t="shared" si="27"/>
        <v>0</v>
      </c>
      <c r="AF53" s="4">
        <f t="shared" si="27"/>
        <v>0</v>
      </c>
      <c r="AG53" s="4">
        <f t="shared" si="27"/>
        <v>0</v>
      </c>
      <c r="AH53" s="4">
        <f t="shared" si="27"/>
        <v>0</v>
      </c>
      <c r="AI53" s="4">
        <f t="shared" si="27"/>
        <v>0</v>
      </c>
      <c r="AJ53" s="4">
        <f t="shared" si="27"/>
        <v>0</v>
      </c>
      <c r="AK53" s="4">
        <f t="shared" si="27"/>
        <v>0</v>
      </c>
      <c r="AL53" s="4">
        <f t="shared" si="27"/>
        <v>0</v>
      </c>
      <c r="AM53" s="4">
        <f t="shared" si="27"/>
        <v>0</v>
      </c>
      <c r="AN53" s="4">
        <f t="shared" si="27"/>
        <v>-90.61952004397294</v>
      </c>
      <c r="AO53" s="4">
        <f t="shared" si="27"/>
        <v>-1178.0537605716481</v>
      </c>
      <c r="AP53" s="4">
        <f t="shared" si="27"/>
        <v>-84064.70809412557</v>
      </c>
      <c r="AQ53" s="4">
        <f t="shared" si="27"/>
        <v>-57437.67245453819</v>
      </c>
      <c r="AR53" s="4">
        <f t="shared" si="27"/>
        <v>0</v>
      </c>
      <c r="AS53" s="4">
        <f t="shared" si="27"/>
        <v>0</v>
      </c>
      <c r="AT53" s="4">
        <f t="shared" si="27"/>
        <v>0</v>
      </c>
      <c r="AU53" s="4">
        <f t="shared" si="27"/>
        <v>0</v>
      </c>
      <c r="AV53" s="4">
        <f>SUM(V53:AU53)</f>
        <v>-151032.53340662157</v>
      </c>
    </row>
    <row r="54" spans="2:48" ht="18.75" customHeight="1">
      <c r="B54" s="23" t="s">
        <v>16</v>
      </c>
      <c r="C54" s="101" t="s">
        <v>114</v>
      </c>
      <c r="D54" s="34" t="s">
        <v>180</v>
      </c>
      <c r="E54" s="76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5">
        <f>SUM(V36:V53)</f>
        <v>-128101.01580443108</v>
      </c>
      <c r="W54" s="9">
        <f aca="true" t="shared" si="28" ref="W54:AU54">$V$54*W12</f>
        <v>0</v>
      </c>
      <c r="X54" s="9">
        <f t="shared" si="28"/>
        <v>0</v>
      </c>
      <c r="Y54" s="4">
        <f t="shared" si="28"/>
        <v>-9056.741817373277</v>
      </c>
      <c r="Z54" s="4">
        <f t="shared" si="28"/>
        <v>-7839.782167231182</v>
      </c>
      <c r="AA54" s="4">
        <f t="shared" si="28"/>
        <v>-9607.576185332331</v>
      </c>
      <c r="AB54" s="4">
        <f t="shared" si="28"/>
        <v>-3638.0688488458427</v>
      </c>
      <c r="AC54" s="4">
        <f t="shared" si="28"/>
        <v>-4342.6244357702135</v>
      </c>
      <c r="AD54" s="4">
        <f t="shared" si="28"/>
        <v>-7224.897291369913</v>
      </c>
      <c r="AE54" s="4">
        <f t="shared" si="28"/>
        <v>-15308.071388629514</v>
      </c>
      <c r="AF54" s="4">
        <f t="shared" si="28"/>
        <v>-2664.5011287321663</v>
      </c>
      <c r="AG54" s="4">
        <f t="shared" si="28"/>
        <v>-832.656602728802</v>
      </c>
      <c r="AH54" s="4">
        <f t="shared" si="28"/>
        <v>-7442.669018237446</v>
      </c>
      <c r="AI54" s="4">
        <f t="shared" si="28"/>
        <v>-7340.1882055939</v>
      </c>
      <c r="AJ54" s="4">
        <f t="shared" si="28"/>
        <v>-1498.7818849118437</v>
      </c>
      <c r="AK54" s="4">
        <f t="shared" si="28"/>
        <v>-678.9353837634848</v>
      </c>
      <c r="AL54" s="4">
        <f t="shared" si="28"/>
        <v>-7750.111456168081</v>
      </c>
      <c r="AM54" s="4">
        <f t="shared" si="28"/>
        <v>-9184.842833177709</v>
      </c>
      <c r="AN54" s="4">
        <f t="shared" si="28"/>
        <v>-6123.228555451806</v>
      </c>
      <c r="AO54" s="4">
        <f t="shared" si="28"/>
        <v>-2754.171839795268</v>
      </c>
      <c r="AP54" s="4">
        <f t="shared" si="28"/>
        <v>0</v>
      </c>
      <c r="AQ54" s="4">
        <f t="shared" si="28"/>
        <v>0</v>
      </c>
      <c r="AR54" s="4">
        <f t="shared" si="28"/>
        <v>-15295.261287049072</v>
      </c>
      <c r="AS54" s="4">
        <f t="shared" si="28"/>
        <v>0</v>
      </c>
      <c r="AT54" s="4">
        <f t="shared" si="28"/>
        <v>-9517.90547426923</v>
      </c>
      <c r="AU54" s="4">
        <f t="shared" si="28"/>
        <v>0</v>
      </c>
      <c r="AV54" s="4">
        <f>SUM(W54:AU54)</f>
        <v>-128101.01580443107</v>
      </c>
    </row>
    <row r="55" spans="2:48" ht="18.75" customHeight="1">
      <c r="B55" s="23" t="s">
        <v>6</v>
      </c>
      <c r="C55" s="102" t="s">
        <v>126</v>
      </c>
      <c r="D55" s="34" t="s">
        <v>181</v>
      </c>
      <c r="E55" s="76"/>
      <c r="F55" s="49"/>
      <c r="G55" s="49"/>
      <c r="H55" s="49"/>
      <c r="I55" s="49"/>
      <c r="J55" s="49"/>
      <c r="K55" s="49"/>
      <c r="L55" s="48"/>
      <c r="M55" s="49"/>
      <c r="N55" s="48"/>
      <c r="O55" s="48"/>
      <c r="P55" s="48"/>
      <c r="Q55" s="48"/>
      <c r="R55" s="48"/>
      <c r="S55" s="48"/>
      <c r="T55" s="48"/>
      <c r="U55" s="48"/>
      <c r="V55" s="48"/>
      <c r="W55" s="5">
        <f>SUM(W36:W54)</f>
        <v>-492227.96912963333</v>
      </c>
      <c r="X55" s="16">
        <f>$W$55*X16</f>
        <v>0</v>
      </c>
      <c r="Y55" s="66">
        <f aca="true" t="shared" si="29" ref="Y55:AU55">($W$55/2)*Y16+$W$55/2/23</f>
        <v>-11699.48260995213</v>
      </c>
      <c r="Z55" s="66">
        <f t="shared" si="29"/>
        <v>-10709.294290925822</v>
      </c>
      <c r="AA55" s="66">
        <f t="shared" si="29"/>
        <v>-10701.296045655748</v>
      </c>
      <c r="AB55" s="66">
        <f t="shared" si="29"/>
        <v>-12337.687684438533</v>
      </c>
      <c r="AC55" s="66">
        <f t="shared" si="29"/>
        <v>-12472.675703911684</v>
      </c>
      <c r="AD55" s="66">
        <f t="shared" si="29"/>
        <v>-11913.532659699402</v>
      </c>
      <c r="AE55" s="66">
        <f t="shared" si="29"/>
        <v>-12958.615711479957</v>
      </c>
      <c r="AF55" s="66">
        <f t="shared" si="29"/>
        <v>-10849.220581833462</v>
      </c>
      <c r="AG55" s="66">
        <f t="shared" si="29"/>
        <v>-18027.247478845464</v>
      </c>
      <c r="AH55" s="66">
        <f t="shared" si="29"/>
        <v>-11722.104124451856</v>
      </c>
      <c r="AI55" s="66">
        <f t="shared" si="29"/>
        <v>-22604.625296992162</v>
      </c>
      <c r="AJ55" s="66">
        <f t="shared" si="29"/>
        <v>-11352.232427754094</v>
      </c>
      <c r="AK55" s="66">
        <f t="shared" si="29"/>
        <v>-16517.46113092159</v>
      </c>
      <c r="AL55" s="66">
        <f t="shared" si="29"/>
        <v>-15116.587313805723</v>
      </c>
      <c r="AM55" s="66">
        <f t="shared" si="29"/>
        <v>-11697.368821110966</v>
      </c>
      <c r="AN55" s="66">
        <f t="shared" si="29"/>
        <v>-28364.159798169145</v>
      </c>
      <c r="AO55" s="66">
        <f t="shared" si="29"/>
        <v>-14385.367446954753</v>
      </c>
      <c r="AP55" s="66">
        <f t="shared" si="29"/>
        <v>-101841.51768911773</v>
      </c>
      <c r="AQ55" s="66">
        <f t="shared" si="29"/>
        <v>-89397.73453758117</v>
      </c>
      <c r="AR55" s="66">
        <f t="shared" si="29"/>
        <v>-15115.110321409918</v>
      </c>
      <c r="AS55" s="66">
        <f t="shared" si="29"/>
        <v>-14551.766850912027</v>
      </c>
      <c r="AT55" s="66">
        <f t="shared" si="29"/>
        <v>-14046.77892140316</v>
      </c>
      <c r="AU55" s="66">
        <f t="shared" si="29"/>
        <v>-13846.101682306866</v>
      </c>
      <c r="AV55" s="4">
        <f>SUM(X55:AU55)</f>
        <v>-492227.96912963333</v>
      </c>
    </row>
    <row r="56" spans="2:48" ht="18.75" customHeight="1">
      <c r="B56" s="23"/>
      <c r="C56" s="102" t="s">
        <v>131</v>
      </c>
      <c r="D56" s="34" t="s">
        <v>181</v>
      </c>
      <c r="E56" s="76"/>
      <c r="F56" s="49"/>
      <c r="G56" s="49"/>
      <c r="H56" s="49"/>
      <c r="I56" s="49"/>
      <c r="J56" s="49"/>
      <c r="K56" s="49"/>
      <c r="L56" s="48"/>
      <c r="M56" s="49"/>
      <c r="N56" s="48"/>
      <c r="O56" s="48"/>
      <c r="P56" s="48"/>
      <c r="Q56" s="48"/>
      <c r="R56" s="48"/>
      <c r="S56" s="48"/>
      <c r="T56" s="48"/>
      <c r="U56" s="48"/>
      <c r="V56" s="48"/>
      <c r="W56" s="49"/>
      <c r="X56" s="13">
        <f>SUM(X36:X55)</f>
        <v>-116714.82563252785</v>
      </c>
      <c r="Y56" s="66">
        <f aca="true" t="shared" si="30" ref="Y56:AU56">($X$56/2)*Y16+$X$56/2/23</f>
        <v>-2774.1273524661</v>
      </c>
      <c r="Z56" s="66">
        <f t="shared" si="30"/>
        <v>-2539.338465514239</v>
      </c>
      <c r="AA56" s="66">
        <f t="shared" si="30"/>
        <v>-2537.4419584878024</v>
      </c>
      <c r="AB56" s="66">
        <f t="shared" si="30"/>
        <v>-2925.455595999652</v>
      </c>
      <c r="AC56" s="66">
        <f t="shared" si="30"/>
        <v>-2957.4633325432446</v>
      </c>
      <c r="AD56" s="66">
        <f t="shared" si="30"/>
        <v>-2824.8819129537164</v>
      </c>
      <c r="AE56" s="66">
        <f t="shared" si="30"/>
        <v>-3072.687185733642</v>
      </c>
      <c r="AF56" s="66">
        <f t="shared" si="30"/>
        <v>-2572.517142202541</v>
      </c>
      <c r="AG56" s="66">
        <f t="shared" si="30"/>
        <v>-4274.5377712857135</v>
      </c>
      <c r="AH56" s="66">
        <f t="shared" si="30"/>
        <v>-2779.491261642264</v>
      </c>
      <c r="AI56" s="66">
        <f t="shared" si="30"/>
        <v>-5359.9044863138315</v>
      </c>
      <c r="AJ56" s="66">
        <f t="shared" si="30"/>
        <v>-2691.7889909589876</v>
      </c>
      <c r="AK56" s="66">
        <f t="shared" si="30"/>
        <v>-3916.544196373886</v>
      </c>
      <c r="AL56" s="66">
        <f t="shared" si="30"/>
        <v>-3584.375458406881</v>
      </c>
      <c r="AM56" s="66">
        <f t="shared" si="30"/>
        <v>-2773.62614060596</v>
      </c>
      <c r="AN56" s="66">
        <f t="shared" si="30"/>
        <v>-6725.578741310022</v>
      </c>
      <c r="AO56" s="66">
        <f t="shared" si="30"/>
        <v>-3410.991976339703</v>
      </c>
      <c r="AP56" s="66">
        <f t="shared" si="30"/>
        <v>-24148.190929205335</v>
      </c>
      <c r="AQ56" s="66">
        <f t="shared" si="30"/>
        <v>-21197.578465414033</v>
      </c>
      <c r="AR56" s="66">
        <f t="shared" si="30"/>
        <v>-3584.0252407826333</v>
      </c>
      <c r="AS56" s="66">
        <f t="shared" si="30"/>
        <v>-3450.447835486779</v>
      </c>
      <c r="AT56" s="66">
        <f t="shared" si="30"/>
        <v>-3330.707426904599</v>
      </c>
      <c r="AU56" s="66">
        <f t="shared" si="30"/>
        <v>-3283.1237655962905</v>
      </c>
      <c r="AV56" s="4">
        <f>SUM(Y56:AU56)</f>
        <v>-116714.82563252783</v>
      </c>
    </row>
    <row r="57" spans="2:48" ht="18.75" customHeight="1" thickBot="1">
      <c r="B57" s="40"/>
      <c r="C57" s="41"/>
      <c r="D57" s="42"/>
      <c r="E57" s="43"/>
      <c r="F57" s="44"/>
      <c r="G57" s="44"/>
      <c r="H57" s="44"/>
      <c r="I57" s="44"/>
      <c r="J57" s="44"/>
      <c r="K57" s="44"/>
      <c r="L57" s="45"/>
      <c r="M57" s="44"/>
      <c r="N57" s="45"/>
      <c r="O57" s="45"/>
      <c r="P57" s="45"/>
      <c r="Q57" s="45"/>
      <c r="R57" s="45"/>
      <c r="S57" s="45"/>
      <c r="T57" s="45"/>
      <c r="U57" s="45"/>
      <c r="V57" s="136" t="s">
        <v>141</v>
      </c>
      <c r="W57" s="136"/>
      <c r="X57" s="136"/>
      <c r="Y57" s="65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>
        <v>-16340</v>
      </c>
      <c r="AM57" s="66"/>
      <c r="AN57" s="66"/>
      <c r="AO57" s="66"/>
      <c r="AP57" s="66"/>
      <c r="AQ57" s="66"/>
      <c r="AR57" s="66">
        <v>-14745</v>
      </c>
      <c r="AS57" s="66"/>
      <c r="AT57" s="66"/>
      <c r="AU57" s="66"/>
      <c r="AV57" s="4">
        <f>SUM(E57:AU57)</f>
        <v>-31085</v>
      </c>
    </row>
    <row r="58" spans="3:48" ht="18.75" customHeight="1">
      <c r="C58" s="11" t="s">
        <v>115</v>
      </c>
      <c r="D58" s="35"/>
      <c r="E58" s="14"/>
      <c r="F58" s="14"/>
      <c r="G58" s="14"/>
      <c r="H58" s="14"/>
      <c r="I58" s="14"/>
      <c r="J58" s="15"/>
      <c r="K58" s="15"/>
      <c r="L58" s="15"/>
      <c r="M58" s="15"/>
      <c r="N58" s="15"/>
      <c r="O58" s="15"/>
      <c r="P58" s="15"/>
      <c r="Q58" s="15"/>
      <c r="R58" s="15"/>
      <c r="S58" s="46"/>
      <c r="T58" s="46"/>
      <c r="U58" s="46"/>
      <c r="V58" s="46"/>
      <c r="W58" s="46"/>
      <c r="X58" s="46"/>
      <c r="Y58" s="91">
        <f>SUM(Y35:Y57)</f>
        <v>-32901.79896569162</v>
      </c>
      <c r="Z58" s="91">
        <f aca="true" t="shared" si="31" ref="Z58:AU58">SUM(Z35:Z57)</f>
        <v>-27780.965840220906</v>
      </c>
      <c r="AA58" s="91">
        <f t="shared" si="31"/>
        <v>-34333.12934607542</v>
      </c>
      <c r="AB58" s="91">
        <f t="shared" si="31"/>
        <v>929.0095659180756</v>
      </c>
      <c r="AC58" s="91">
        <f t="shared" si="31"/>
        <v>-10655.313820732516</v>
      </c>
      <c r="AD58" s="91">
        <f t="shared" si="31"/>
        <v>4437.720399930857</v>
      </c>
      <c r="AE58" s="91">
        <f t="shared" si="31"/>
        <v>39847.49412281799</v>
      </c>
      <c r="AF58" s="91">
        <f t="shared" si="31"/>
        <v>-19838.503907102553</v>
      </c>
      <c r="AG58" s="91">
        <f t="shared" si="31"/>
        <v>-12848.181806677887</v>
      </c>
      <c r="AH58" s="91">
        <f t="shared" si="31"/>
        <v>-32920.60657864474</v>
      </c>
      <c r="AI58" s="91">
        <f t="shared" si="31"/>
        <v>-102900.42109864765</v>
      </c>
      <c r="AJ58" s="91">
        <f t="shared" si="31"/>
        <v>-35158.67269357099</v>
      </c>
      <c r="AK58" s="91">
        <f t="shared" si="31"/>
        <v>-46571.079744951785</v>
      </c>
      <c r="AL58" s="91">
        <f t="shared" si="31"/>
        <v>-13342.20090329162</v>
      </c>
      <c r="AM58" s="91">
        <f t="shared" si="31"/>
        <v>74956.45088886288</v>
      </c>
      <c r="AN58" s="91">
        <f t="shared" si="31"/>
        <v>-155240.27983389847</v>
      </c>
      <c r="AO58" s="91">
        <f t="shared" si="31"/>
        <v>-117670.9719005389</v>
      </c>
      <c r="AP58" s="91">
        <f t="shared" si="31"/>
        <v>-466352.6244225809</v>
      </c>
      <c r="AQ58" s="91">
        <f t="shared" si="31"/>
        <v>-550298.1804281304</v>
      </c>
      <c r="AR58" s="91">
        <f t="shared" si="31"/>
        <v>-71138.67397395767</v>
      </c>
      <c r="AS58" s="91">
        <f t="shared" si="31"/>
        <v>-19425.504830215195</v>
      </c>
      <c r="AT58" s="91">
        <f t="shared" si="31"/>
        <v>-108731.88230317921</v>
      </c>
      <c r="AU58" s="91">
        <f t="shared" si="31"/>
        <v>27512.58742057832</v>
      </c>
      <c r="AV58" s="91">
        <f>SUM(AV35:AV57)</f>
        <v>-2542109.943073141</v>
      </c>
    </row>
    <row r="59" spans="3:48" ht="17.25" customHeight="1">
      <c r="C59" s="19" t="s">
        <v>116</v>
      </c>
      <c r="D59" s="3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62"/>
      <c r="Y59" s="89">
        <f>Y32</f>
        <v>0</v>
      </c>
      <c r="Z59" s="89">
        <f aca="true" t="shared" si="32" ref="Z59:AU59">Z32</f>
        <v>0</v>
      </c>
      <c r="AA59" s="89">
        <f t="shared" si="32"/>
        <v>11069.78</v>
      </c>
      <c r="AB59" s="89">
        <f t="shared" si="32"/>
        <v>8749.84</v>
      </c>
      <c r="AC59" s="89">
        <f t="shared" si="32"/>
        <v>35313.42</v>
      </c>
      <c r="AD59" s="89">
        <f t="shared" si="32"/>
        <v>35767.05</v>
      </c>
      <c r="AE59" s="89">
        <f t="shared" si="32"/>
        <v>130501.17</v>
      </c>
      <c r="AF59" s="89">
        <f t="shared" si="32"/>
        <v>22286.01</v>
      </c>
      <c r="AG59" s="89">
        <f t="shared" si="32"/>
        <v>17010.53</v>
      </c>
      <c r="AH59" s="89">
        <f t="shared" si="32"/>
        <v>0</v>
      </c>
      <c r="AI59" s="89">
        <f t="shared" si="32"/>
        <v>2568.82</v>
      </c>
      <c r="AJ59" s="89">
        <f t="shared" si="32"/>
        <v>940.84</v>
      </c>
      <c r="AK59" s="89">
        <f t="shared" si="32"/>
        <v>32672.61</v>
      </c>
      <c r="AL59" s="89">
        <f t="shared" si="32"/>
        <v>46085.6</v>
      </c>
      <c r="AM59" s="89">
        <f t="shared" si="32"/>
        <v>49494.88</v>
      </c>
      <c r="AN59" s="89">
        <f t="shared" si="32"/>
        <v>63957.62</v>
      </c>
      <c r="AO59" s="89">
        <f t="shared" si="32"/>
        <v>9744.15</v>
      </c>
      <c r="AP59" s="89">
        <f t="shared" si="32"/>
        <v>511972.68</v>
      </c>
      <c r="AQ59" s="89">
        <f t="shared" si="32"/>
        <v>492124.18</v>
      </c>
      <c r="AR59" s="89">
        <f t="shared" si="32"/>
        <v>2810.52</v>
      </c>
      <c r="AS59" s="89">
        <f t="shared" si="32"/>
        <v>0</v>
      </c>
      <c r="AT59" s="89">
        <f t="shared" si="32"/>
        <v>1226.51</v>
      </c>
      <c r="AU59" s="89">
        <f t="shared" si="32"/>
        <v>0</v>
      </c>
      <c r="AV59" s="88">
        <f>SUM(Y59:AU59)</f>
        <v>1474296.21</v>
      </c>
    </row>
    <row r="60" spans="3:48" ht="17.25" customHeight="1">
      <c r="C60" s="19" t="s">
        <v>117</v>
      </c>
      <c r="D60" s="3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62"/>
      <c r="Y60" s="89">
        <f>Y33</f>
        <v>0</v>
      </c>
      <c r="Z60" s="89">
        <f aca="true" t="shared" si="33" ref="Z60:AU60">Z33</f>
        <v>0</v>
      </c>
      <c r="AA60" s="89">
        <f t="shared" si="33"/>
        <v>0</v>
      </c>
      <c r="AB60" s="89">
        <f t="shared" si="33"/>
        <v>450.72</v>
      </c>
      <c r="AC60" s="89">
        <f t="shared" si="33"/>
        <v>0</v>
      </c>
      <c r="AD60" s="89">
        <f t="shared" si="33"/>
        <v>0</v>
      </c>
      <c r="AE60" s="89">
        <f t="shared" si="33"/>
        <v>85744.71</v>
      </c>
      <c r="AF60" s="89">
        <f t="shared" si="33"/>
        <v>7415.42</v>
      </c>
      <c r="AG60" s="89">
        <f t="shared" si="33"/>
        <v>533.34</v>
      </c>
      <c r="AH60" s="89">
        <f t="shared" si="33"/>
        <v>0</v>
      </c>
      <c r="AI60" s="89">
        <f t="shared" si="33"/>
        <v>0</v>
      </c>
      <c r="AJ60" s="89">
        <f t="shared" si="33"/>
        <v>0</v>
      </c>
      <c r="AK60" s="89">
        <f t="shared" si="33"/>
        <v>0</v>
      </c>
      <c r="AL60" s="89">
        <f t="shared" si="33"/>
        <v>1896.56</v>
      </c>
      <c r="AM60" s="89">
        <f t="shared" si="33"/>
        <v>27776.91</v>
      </c>
      <c r="AN60" s="89">
        <f t="shared" si="33"/>
        <v>18936.86</v>
      </c>
      <c r="AO60" s="89">
        <f t="shared" si="33"/>
        <v>8918.79</v>
      </c>
      <c r="AP60" s="89">
        <f t="shared" si="33"/>
        <v>370385.94</v>
      </c>
      <c r="AQ60" s="89">
        <f t="shared" si="33"/>
        <v>1261.64</v>
      </c>
      <c r="AR60" s="89">
        <f t="shared" si="33"/>
        <v>0</v>
      </c>
      <c r="AS60" s="89">
        <f t="shared" si="33"/>
        <v>2413.09</v>
      </c>
      <c r="AT60" s="89">
        <f t="shared" si="33"/>
        <v>0</v>
      </c>
      <c r="AU60" s="89">
        <f t="shared" si="33"/>
        <v>0</v>
      </c>
      <c r="AV60" s="88">
        <f>SUM(Y60:AU60)</f>
        <v>525733.98</v>
      </c>
    </row>
    <row r="61" spans="3:48" ht="17.25" customHeight="1">
      <c r="C61" s="19" t="s">
        <v>118</v>
      </c>
      <c r="D61" s="36"/>
      <c r="E61" s="3">
        <f aca="true" t="shared" si="34" ref="E61:Y61">E58+E59-E60</f>
        <v>0</v>
      </c>
      <c r="F61" s="3">
        <f t="shared" si="34"/>
        <v>0</v>
      </c>
      <c r="G61" s="3">
        <f t="shared" si="34"/>
        <v>0</v>
      </c>
      <c r="H61" s="3">
        <f t="shared" si="34"/>
        <v>0</v>
      </c>
      <c r="I61" s="3">
        <f t="shared" si="34"/>
        <v>0</v>
      </c>
      <c r="J61" s="3">
        <f t="shared" si="34"/>
        <v>0</v>
      </c>
      <c r="K61" s="3">
        <f t="shared" si="34"/>
        <v>0</v>
      </c>
      <c r="L61" s="3">
        <f t="shared" si="34"/>
        <v>0</v>
      </c>
      <c r="M61" s="3">
        <f t="shared" si="34"/>
        <v>0</v>
      </c>
      <c r="N61" s="3">
        <f t="shared" si="34"/>
        <v>0</v>
      </c>
      <c r="O61" s="3">
        <f t="shared" si="34"/>
        <v>0</v>
      </c>
      <c r="P61" s="3">
        <f t="shared" si="34"/>
        <v>0</v>
      </c>
      <c r="Q61" s="3">
        <f t="shared" si="34"/>
        <v>0</v>
      </c>
      <c r="R61" s="3">
        <f t="shared" si="34"/>
        <v>0</v>
      </c>
      <c r="S61" s="3">
        <f t="shared" si="34"/>
        <v>0</v>
      </c>
      <c r="T61" s="3">
        <f t="shared" si="34"/>
        <v>0</v>
      </c>
      <c r="U61" s="3">
        <f t="shared" si="34"/>
        <v>0</v>
      </c>
      <c r="V61" s="3">
        <f t="shared" si="34"/>
        <v>0</v>
      </c>
      <c r="W61" s="3">
        <f t="shared" si="34"/>
        <v>0</v>
      </c>
      <c r="X61" s="63">
        <f t="shared" si="34"/>
        <v>0</v>
      </c>
      <c r="Y61" s="67">
        <f t="shared" si="34"/>
        <v>-32901.79896569162</v>
      </c>
      <c r="Z61" s="67">
        <f aca="true" t="shared" si="35" ref="Z61:AU61">Z58+Z59-Z60</f>
        <v>-27780.965840220906</v>
      </c>
      <c r="AA61" s="67">
        <f t="shared" si="35"/>
        <v>-23263.349346075418</v>
      </c>
      <c r="AB61" s="67">
        <f t="shared" si="35"/>
        <v>9228.129565918076</v>
      </c>
      <c r="AC61" s="67">
        <f t="shared" si="35"/>
        <v>24658.10617926748</v>
      </c>
      <c r="AD61" s="67">
        <f t="shared" si="35"/>
        <v>40204.77039993086</v>
      </c>
      <c r="AE61" s="67">
        <f t="shared" si="35"/>
        <v>84603.95412281797</v>
      </c>
      <c r="AF61" s="67">
        <f t="shared" si="35"/>
        <v>-4967.913907102555</v>
      </c>
      <c r="AG61" s="67">
        <f t="shared" si="35"/>
        <v>3629.0081933221118</v>
      </c>
      <c r="AH61" s="67">
        <f t="shared" si="35"/>
        <v>-32920.60657864474</v>
      </c>
      <c r="AI61" s="67">
        <f t="shared" si="35"/>
        <v>-100331.60109864765</v>
      </c>
      <c r="AJ61" s="67">
        <f t="shared" si="35"/>
        <v>-34217.83269357099</v>
      </c>
      <c r="AK61" s="67">
        <f t="shared" si="35"/>
        <v>-13898.469744951784</v>
      </c>
      <c r="AL61" s="67">
        <f t="shared" si="35"/>
        <v>30846.83909670838</v>
      </c>
      <c r="AM61" s="67">
        <f t="shared" si="35"/>
        <v>96674.42088886286</v>
      </c>
      <c r="AN61" s="67">
        <f t="shared" si="35"/>
        <v>-110219.51983389848</v>
      </c>
      <c r="AO61" s="67">
        <f t="shared" si="35"/>
        <v>-116845.6119005389</v>
      </c>
      <c r="AP61" s="67">
        <f t="shared" si="35"/>
        <v>-324765.8844225809</v>
      </c>
      <c r="AQ61" s="67">
        <f t="shared" si="35"/>
        <v>-59435.64042813044</v>
      </c>
      <c r="AR61" s="67">
        <f t="shared" si="35"/>
        <v>-68328.15397395767</v>
      </c>
      <c r="AS61" s="67">
        <f t="shared" si="35"/>
        <v>-21838.594830215196</v>
      </c>
      <c r="AT61" s="67">
        <f t="shared" si="35"/>
        <v>-107505.37230317922</v>
      </c>
      <c r="AU61" s="67">
        <f t="shared" si="35"/>
        <v>27512.58742057832</v>
      </c>
      <c r="AV61" s="88">
        <f>AV58+AV59-AV60</f>
        <v>-1593547.713073141</v>
      </c>
    </row>
    <row r="62" spans="3:48" ht="17.25" customHeight="1">
      <c r="C62" s="21" t="s">
        <v>119</v>
      </c>
      <c r="D62" s="37"/>
      <c r="E62" s="61">
        <f>E63+E64+E65</f>
        <v>0</v>
      </c>
      <c r="F62" s="61">
        <f aca="true" t="shared" si="36" ref="F62:AU62">F63+F64+F65</f>
        <v>0</v>
      </c>
      <c r="G62" s="61">
        <f t="shared" si="36"/>
        <v>0</v>
      </c>
      <c r="H62" s="61">
        <f t="shared" si="36"/>
        <v>0</v>
      </c>
      <c r="I62" s="61">
        <f t="shared" si="36"/>
        <v>0</v>
      </c>
      <c r="J62" s="61">
        <f t="shared" si="36"/>
        <v>0</v>
      </c>
      <c r="K62" s="61"/>
      <c r="L62" s="61">
        <f>L63+L64+L65</f>
        <v>0</v>
      </c>
      <c r="M62" s="61"/>
      <c r="N62" s="61">
        <f t="shared" si="36"/>
        <v>0</v>
      </c>
      <c r="O62" s="61">
        <f t="shared" si="36"/>
        <v>0</v>
      </c>
      <c r="P62" s="61">
        <f t="shared" si="36"/>
        <v>0</v>
      </c>
      <c r="Q62" s="61">
        <f t="shared" si="36"/>
        <v>0</v>
      </c>
      <c r="R62" s="61">
        <f t="shared" si="36"/>
        <v>0</v>
      </c>
      <c r="S62" s="61">
        <f t="shared" si="36"/>
        <v>0</v>
      </c>
      <c r="T62" s="61">
        <f t="shared" si="36"/>
        <v>0</v>
      </c>
      <c r="U62" s="61">
        <f t="shared" si="36"/>
        <v>0</v>
      </c>
      <c r="V62" s="61">
        <f t="shared" si="36"/>
        <v>0</v>
      </c>
      <c r="W62" s="61">
        <f t="shared" si="36"/>
        <v>0</v>
      </c>
      <c r="X62" s="64">
        <f t="shared" si="36"/>
        <v>0</v>
      </c>
      <c r="Y62" s="68">
        <f t="shared" si="36"/>
        <v>32901.79896569162</v>
      </c>
      <c r="Z62" s="61">
        <f t="shared" si="36"/>
        <v>27780.965840220906</v>
      </c>
      <c r="AA62" s="61">
        <f t="shared" si="36"/>
        <v>23263.349346075418</v>
      </c>
      <c r="AB62" s="61">
        <f t="shared" si="36"/>
        <v>-9228.129565918076</v>
      </c>
      <c r="AC62" s="61">
        <f t="shared" si="36"/>
        <v>-24658.10617926748</v>
      </c>
      <c r="AD62" s="61">
        <f t="shared" si="36"/>
        <v>-40204.77039993086</v>
      </c>
      <c r="AE62" s="61">
        <f t="shared" si="36"/>
        <v>-84603.95412281797</v>
      </c>
      <c r="AF62" s="61">
        <f t="shared" si="36"/>
        <v>4967.913907102555</v>
      </c>
      <c r="AG62" s="61">
        <f t="shared" si="36"/>
        <v>-3629.0081933221118</v>
      </c>
      <c r="AH62" s="61">
        <f t="shared" si="36"/>
        <v>32920.60657864474</v>
      </c>
      <c r="AI62" s="61">
        <f t="shared" si="36"/>
        <v>100331.60109864765</v>
      </c>
      <c r="AJ62" s="61">
        <f t="shared" si="36"/>
        <v>34217.83269357099</v>
      </c>
      <c r="AK62" s="61">
        <f t="shared" si="36"/>
        <v>13898.469744951784</v>
      </c>
      <c r="AL62" s="61">
        <f t="shared" si="36"/>
        <v>-30846.83909670838</v>
      </c>
      <c r="AM62" s="61">
        <f t="shared" si="36"/>
        <v>-96674.42088886286</v>
      </c>
      <c r="AN62" s="61">
        <f t="shared" si="36"/>
        <v>110219.51983389848</v>
      </c>
      <c r="AO62" s="61">
        <f t="shared" si="36"/>
        <v>116845.6119005389</v>
      </c>
      <c r="AP62" s="61">
        <f t="shared" si="36"/>
        <v>324765.8844225809</v>
      </c>
      <c r="AQ62" s="61">
        <f t="shared" si="36"/>
        <v>59435.64042813044</v>
      </c>
      <c r="AR62" s="61">
        <f t="shared" si="36"/>
        <v>68328.15397395767</v>
      </c>
      <c r="AS62" s="61">
        <f t="shared" si="36"/>
        <v>21838.594830215196</v>
      </c>
      <c r="AT62" s="61">
        <f t="shared" si="36"/>
        <v>107505.37230317922</v>
      </c>
      <c r="AU62" s="61">
        <f t="shared" si="36"/>
        <v>-27512.58742057832</v>
      </c>
      <c r="AV62" s="90">
        <f>AV63+AV64+AV65</f>
        <v>1593547.713073141</v>
      </c>
    </row>
    <row r="63" spans="3:48" ht="17.25" customHeight="1">
      <c r="C63" s="19" t="s">
        <v>118</v>
      </c>
      <c r="D63" s="36"/>
      <c r="E63" s="3">
        <f aca="true" t="shared" si="37" ref="E63:J63">-E61</f>
        <v>0</v>
      </c>
      <c r="F63" s="3">
        <f t="shared" si="37"/>
        <v>0</v>
      </c>
      <c r="G63" s="3">
        <f t="shared" si="37"/>
        <v>0</v>
      </c>
      <c r="H63" s="3">
        <f t="shared" si="37"/>
        <v>0</v>
      </c>
      <c r="I63" s="3">
        <f t="shared" si="37"/>
        <v>0</v>
      </c>
      <c r="J63" s="3">
        <f t="shared" si="37"/>
        <v>0</v>
      </c>
      <c r="K63" s="3"/>
      <c r="L63" s="3">
        <f>-L61</f>
        <v>0</v>
      </c>
      <c r="M63" s="3"/>
      <c r="N63" s="3">
        <f aca="true" t="shared" si="38" ref="N63:AV63">-N61</f>
        <v>0</v>
      </c>
      <c r="O63" s="3">
        <f t="shared" si="38"/>
        <v>0</v>
      </c>
      <c r="P63" s="3">
        <f t="shared" si="38"/>
        <v>0</v>
      </c>
      <c r="Q63" s="3">
        <f t="shared" si="38"/>
        <v>0</v>
      </c>
      <c r="R63" s="3">
        <f t="shared" si="38"/>
        <v>0</v>
      </c>
      <c r="S63" s="3">
        <f t="shared" si="38"/>
        <v>0</v>
      </c>
      <c r="T63" s="3">
        <f t="shared" si="38"/>
        <v>0</v>
      </c>
      <c r="U63" s="3">
        <f t="shared" si="38"/>
        <v>0</v>
      </c>
      <c r="V63" s="3">
        <f t="shared" si="38"/>
        <v>0</v>
      </c>
      <c r="W63" s="3">
        <f t="shared" si="38"/>
        <v>0</v>
      </c>
      <c r="X63" s="63">
        <f t="shared" si="38"/>
        <v>0</v>
      </c>
      <c r="Y63" s="67">
        <f t="shared" si="38"/>
        <v>32901.79896569162</v>
      </c>
      <c r="Z63" s="3">
        <f t="shared" si="38"/>
        <v>27780.965840220906</v>
      </c>
      <c r="AA63" s="3">
        <f t="shared" si="38"/>
        <v>23263.349346075418</v>
      </c>
      <c r="AB63" s="3">
        <f t="shared" si="38"/>
        <v>-9228.129565918076</v>
      </c>
      <c r="AC63" s="3">
        <f t="shared" si="38"/>
        <v>-24658.10617926748</v>
      </c>
      <c r="AD63" s="3">
        <f t="shared" si="38"/>
        <v>-40204.77039993086</v>
      </c>
      <c r="AE63" s="3">
        <f t="shared" si="38"/>
        <v>-84603.95412281797</v>
      </c>
      <c r="AF63" s="3">
        <f t="shared" si="38"/>
        <v>4967.913907102555</v>
      </c>
      <c r="AG63" s="3">
        <f t="shared" si="38"/>
        <v>-3629.0081933221118</v>
      </c>
      <c r="AH63" s="3">
        <f t="shared" si="38"/>
        <v>32920.60657864474</v>
      </c>
      <c r="AI63" s="3">
        <f t="shared" si="38"/>
        <v>100331.60109864765</v>
      </c>
      <c r="AJ63" s="3">
        <f t="shared" si="38"/>
        <v>34217.83269357099</v>
      </c>
      <c r="AK63" s="3">
        <f t="shared" si="38"/>
        <v>13898.469744951784</v>
      </c>
      <c r="AL63" s="3">
        <f t="shared" si="38"/>
        <v>-30846.83909670838</v>
      </c>
      <c r="AM63" s="3">
        <f t="shared" si="38"/>
        <v>-96674.42088886286</v>
      </c>
      <c r="AN63" s="3">
        <f t="shared" si="38"/>
        <v>110219.51983389848</v>
      </c>
      <c r="AO63" s="3">
        <f t="shared" si="38"/>
        <v>116845.6119005389</v>
      </c>
      <c r="AP63" s="3">
        <f t="shared" si="38"/>
        <v>324765.8844225809</v>
      </c>
      <c r="AQ63" s="3">
        <f t="shared" si="38"/>
        <v>59435.64042813044</v>
      </c>
      <c r="AR63" s="3">
        <f t="shared" si="38"/>
        <v>68328.15397395767</v>
      </c>
      <c r="AS63" s="3">
        <f t="shared" si="38"/>
        <v>21838.594830215196</v>
      </c>
      <c r="AT63" s="3">
        <f t="shared" si="38"/>
        <v>107505.37230317922</v>
      </c>
      <c r="AU63" s="3">
        <f t="shared" si="38"/>
        <v>-27512.58742057832</v>
      </c>
      <c r="AV63" s="88">
        <f t="shared" si="38"/>
        <v>1593547.713073141</v>
      </c>
    </row>
    <row r="64" spans="3:48" ht="17.25" customHeight="1">
      <c r="C64" s="20" t="s">
        <v>120</v>
      </c>
      <c r="D64" s="3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63"/>
      <c r="Y64" s="67">
        <f aca="true" t="shared" si="39" ref="Y64:AU64">$X$64*Y16</f>
        <v>0</v>
      </c>
      <c r="Z64" s="3">
        <f t="shared" si="39"/>
        <v>0</v>
      </c>
      <c r="AA64" s="3">
        <f t="shared" si="39"/>
        <v>0</v>
      </c>
      <c r="AB64" s="3">
        <f t="shared" si="39"/>
        <v>0</v>
      </c>
      <c r="AC64" s="3">
        <f t="shared" si="39"/>
        <v>0</v>
      </c>
      <c r="AD64" s="3">
        <f t="shared" si="39"/>
        <v>0</v>
      </c>
      <c r="AE64" s="3">
        <f t="shared" si="39"/>
        <v>0</v>
      </c>
      <c r="AF64" s="3">
        <f t="shared" si="39"/>
        <v>0</v>
      </c>
      <c r="AG64" s="3">
        <f t="shared" si="39"/>
        <v>0</v>
      </c>
      <c r="AH64" s="3">
        <f t="shared" si="39"/>
        <v>0</v>
      </c>
      <c r="AI64" s="3">
        <f t="shared" si="39"/>
        <v>0</v>
      </c>
      <c r="AJ64" s="3">
        <f t="shared" si="39"/>
        <v>0</v>
      </c>
      <c r="AK64" s="3">
        <f t="shared" si="39"/>
        <v>0</v>
      </c>
      <c r="AL64" s="3">
        <f t="shared" si="39"/>
        <v>0</v>
      </c>
      <c r="AM64" s="3">
        <f t="shared" si="39"/>
        <v>0</v>
      </c>
      <c r="AN64" s="3">
        <f t="shared" si="39"/>
        <v>0</v>
      </c>
      <c r="AO64" s="3">
        <f t="shared" si="39"/>
        <v>0</v>
      </c>
      <c r="AP64" s="3">
        <f t="shared" si="39"/>
        <v>0</v>
      </c>
      <c r="AQ64" s="3">
        <f t="shared" si="39"/>
        <v>0</v>
      </c>
      <c r="AR64" s="3">
        <f t="shared" si="39"/>
        <v>0</v>
      </c>
      <c r="AS64" s="3">
        <f t="shared" si="39"/>
        <v>0</v>
      </c>
      <c r="AT64" s="3">
        <f t="shared" si="39"/>
        <v>0</v>
      </c>
      <c r="AU64" s="3">
        <f t="shared" si="39"/>
        <v>0</v>
      </c>
      <c r="AV64" s="88">
        <f>SUM(Y64:AU64)</f>
        <v>0</v>
      </c>
    </row>
    <row r="65" spans="3:48" ht="17.25" customHeight="1">
      <c r="C65" s="20" t="s">
        <v>121</v>
      </c>
      <c r="D65" s="3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63"/>
      <c r="Y65" s="67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88"/>
    </row>
    <row r="66" spans="3:48" ht="17.25" customHeight="1">
      <c r="C66" s="21" t="s">
        <v>122</v>
      </c>
      <c r="D66" s="37"/>
      <c r="E66" s="61">
        <f>E68-E67</f>
        <v>0</v>
      </c>
      <c r="F66" s="61">
        <f>F68-F67</f>
        <v>0</v>
      </c>
      <c r="G66" s="61">
        <f>G68-G67</f>
        <v>0</v>
      </c>
      <c r="H66" s="61">
        <f>H68+H69+H70-H67</f>
        <v>1010109.3</v>
      </c>
      <c r="I66" s="61">
        <f aca="true" t="shared" si="40" ref="I66:AV66">I68+I69+I70-I67</f>
        <v>28745.85</v>
      </c>
      <c r="J66" s="61">
        <f t="shared" si="40"/>
        <v>0</v>
      </c>
      <c r="K66" s="61">
        <f t="shared" si="40"/>
        <v>0</v>
      </c>
      <c r="L66" s="61">
        <f t="shared" si="40"/>
        <v>0</v>
      </c>
      <c r="M66" s="61">
        <f t="shared" si="40"/>
        <v>0</v>
      </c>
      <c r="N66" s="61">
        <f t="shared" si="40"/>
        <v>0</v>
      </c>
      <c r="O66" s="61">
        <f t="shared" si="40"/>
        <v>0</v>
      </c>
      <c r="P66" s="61">
        <f t="shared" si="40"/>
        <v>0</v>
      </c>
      <c r="Q66" s="61">
        <f t="shared" si="40"/>
        <v>0</v>
      </c>
      <c r="R66" s="61">
        <f t="shared" si="40"/>
        <v>3837.62</v>
      </c>
      <c r="S66" s="61">
        <f t="shared" si="40"/>
        <v>0</v>
      </c>
      <c r="T66" s="61">
        <f t="shared" si="40"/>
        <v>0</v>
      </c>
      <c r="U66" s="61">
        <f t="shared" si="40"/>
        <v>357.69</v>
      </c>
      <c r="V66" s="61">
        <f t="shared" si="40"/>
        <v>0</v>
      </c>
      <c r="W66" s="61">
        <f t="shared" si="40"/>
        <v>23934.07</v>
      </c>
      <c r="X66" s="64">
        <f t="shared" si="40"/>
        <v>56875.229999999996</v>
      </c>
      <c r="Y66" s="68">
        <f t="shared" si="40"/>
        <v>230.83296906489636</v>
      </c>
      <c r="Z66" s="61">
        <f t="shared" si="40"/>
        <v>2.0073357409069277</v>
      </c>
      <c r="AA66" s="61">
        <f t="shared" si="40"/>
        <v>0.15899689036886555</v>
      </c>
      <c r="AB66" s="61">
        <f t="shared" si="40"/>
        <v>7317.027722776736</v>
      </c>
      <c r="AC66" s="61">
        <f t="shared" si="40"/>
        <v>409.51251517488066</v>
      </c>
      <c r="AD66" s="61">
        <f t="shared" si="40"/>
        <v>280.29844674758084</v>
      </c>
      <c r="AE66" s="61">
        <f t="shared" si="40"/>
        <v>81622.79987099364</v>
      </c>
      <c r="AF66" s="61">
        <f t="shared" si="40"/>
        <v>12523.343328319675</v>
      </c>
      <c r="AG66" s="61">
        <f t="shared" si="40"/>
        <v>6216.1154178290235</v>
      </c>
      <c r="AH66" s="61">
        <f t="shared" si="40"/>
        <v>236.06064372302333</v>
      </c>
      <c r="AI66" s="61">
        <f t="shared" si="40"/>
        <v>2750.935593891057</v>
      </c>
      <c r="AJ66" s="61">
        <f t="shared" si="40"/>
        <v>150.58586723938458</v>
      </c>
      <c r="AK66" s="61">
        <f t="shared" si="40"/>
        <v>6437.674294063682</v>
      </c>
      <c r="AL66" s="61">
        <f t="shared" si="40"/>
        <v>1020.5020986326687</v>
      </c>
      <c r="AM66" s="61">
        <f t="shared" si="40"/>
        <v>230.3444871660507</v>
      </c>
      <c r="AN66" s="61">
        <f t="shared" si="40"/>
        <v>58494.993956972496</v>
      </c>
      <c r="AO66" s="61">
        <f t="shared" si="40"/>
        <v>14496.322273364894</v>
      </c>
      <c r="AP66" s="61">
        <f t="shared" si="40"/>
        <v>-116839.6697023437</v>
      </c>
      <c r="AQ66" s="61">
        <f t="shared" si="40"/>
        <v>295554.2185634182</v>
      </c>
      <c r="AR66" s="61">
        <f t="shared" si="40"/>
        <v>1020.1607759631414</v>
      </c>
      <c r="AS66" s="61">
        <f t="shared" si="40"/>
        <v>6889.976018237082</v>
      </c>
      <c r="AT66" s="61">
        <f t="shared" si="40"/>
        <v>773.2768201446771</v>
      </c>
      <c r="AU66" s="61">
        <f t="shared" si="40"/>
        <v>726.9017059895496</v>
      </c>
      <c r="AV66" s="90">
        <f t="shared" si="40"/>
        <v>380544.3799999999</v>
      </c>
    </row>
    <row r="67" spans="3:48" ht="17.25" customHeight="1">
      <c r="C67" s="20" t="s">
        <v>123</v>
      </c>
      <c r="D67" s="3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63"/>
      <c r="Y67" s="67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>
        <v>629564.92</v>
      </c>
      <c r="AQ67" s="3">
        <v>0</v>
      </c>
      <c r="AR67" s="3"/>
      <c r="AS67" s="3"/>
      <c r="AT67" s="3"/>
      <c r="AU67" s="3"/>
      <c r="AV67" s="88">
        <f>SUM(I67:AU67)</f>
        <v>629564.92</v>
      </c>
    </row>
    <row r="68" spans="3:48" ht="17.25" customHeight="1">
      <c r="C68" s="20" t="s">
        <v>124</v>
      </c>
      <c r="D68" s="38"/>
      <c r="E68" s="3"/>
      <c r="F68" s="3"/>
      <c r="G68" s="3"/>
      <c r="H68" s="3">
        <v>1010109.3</v>
      </c>
      <c r="I68" s="17"/>
      <c r="J68" s="3"/>
      <c r="K68" s="3"/>
      <c r="L68" s="3"/>
      <c r="M68" s="3"/>
      <c r="N68" s="3"/>
      <c r="O68" s="3"/>
      <c r="P68" s="3"/>
      <c r="Q68" s="31"/>
      <c r="R68" s="31"/>
      <c r="S68" s="31"/>
      <c r="T68" s="31"/>
      <c r="U68" s="31"/>
      <c r="V68" s="31"/>
      <c r="W68" s="31"/>
      <c r="X68" s="63"/>
      <c r="Y68" s="89"/>
      <c r="Z68" s="4"/>
      <c r="AA68" s="4"/>
      <c r="AB68" s="4">
        <v>6938.71</v>
      </c>
      <c r="AC68" s="4"/>
      <c r="AD68" s="4"/>
      <c r="AE68" s="4">
        <v>81100.99</v>
      </c>
      <c r="AF68" s="4">
        <v>12489</v>
      </c>
      <c r="AG68" s="4">
        <v>4522.98</v>
      </c>
      <c r="AH68" s="4"/>
      <c r="AI68" s="4"/>
      <c r="AJ68" s="4"/>
      <c r="AK68" s="4">
        <v>5093.44</v>
      </c>
      <c r="AL68" s="4"/>
      <c r="AM68" s="4"/>
      <c r="AN68" s="4">
        <f>38229.57+16183.5</f>
        <v>54413.07</v>
      </c>
      <c r="AO68" s="4">
        <v>13644.8</v>
      </c>
      <c r="AP68" s="4">
        <v>491663.22</v>
      </c>
      <c r="AQ68" s="4">
        <v>277367.86</v>
      </c>
      <c r="AR68" s="4"/>
      <c r="AS68" s="4">
        <v>6000</v>
      </c>
      <c r="AT68" s="4"/>
      <c r="AU68" s="4"/>
      <c r="AV68" s="88">
        <f>SUM(Y68:AU68)</f>
        <v>953234.07</v>
      </c>
    </row>
    <row r="69" spans="3:48" ht="17.25" customHeight="1">
      <c r="C69" s="20" t="s">
        <v>144</v>
      </c>
      <c r="D69" s="38"/>
      <c r="E69" s="3"/>
      <c r="F69" s="3"/>
      <c r="G69" s="3"/>
      <c r="H69" s="3"/>
      <c r="I69" s="4">
        <v>28745.85</v>
      </c>
      <c r="J69" s="4"/>
      <c r="K69" s="4"/>
      <c r="L69" s="4"/>
      <c r="M69" s="4"/>
      <c r="N69" s="4"/>
      <c r="O69" s="4"/>
      <c r="P69" s="4"/>
      <c r="Q69" s="4"/>
      <c r="R69" s="4">
        <v>3837.62</v>
      </c>
      <c r="S69" s="4"/>
      <c r="T69" s="4"/>
      <c r="U69" s="4">
        <v>357.69</v>
      </c>
      <c r="V69" s="4"/>
      <c r="W69" s="4">
        <f>23934.07</f>
        <v>23934.07</v>
      </c>
      <c r="X69" s="63"/>
      <c r="Y69" s="89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88"/>
    </row>
    <row r="70" spans="3:48" ht="17.25" customHeight="1" thickBot="1">
      <c r="C70" s="20" t="s">
        <v>145</v>
      </c>
      <c r="D70" s="3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63">
        <f>SUM(I69:W70)</f>
        <v>56875.229999999996</v>
      </c>
      <c r="Y70" s="95">
        <f aca="true" t="shared" si="41" ref="Y70:AU70">$X$70*Y16</f>
        <v>230.83296906489636</v>
      </c>
      <c r="Z70" s="66">
        <f t="shared" si="41"/>
        <v>2.0073357409069277</v>
      </c>
      <c r="AA70" s="66">
        <f t="shared" si="41"/>
        <v>0.15899689036886555</v>
      </c>
      <c r="AB70" s="66">
        <f t="shared" si="41"/>
        <v>378.3177227767352</v>
      </c>
      <c r="AC70" s="66">
        <f t="shared" si="41"/>
        <v>409.51251517488066</v>
      </c>
      <c r="AD70" s="66">
        <f t="shared" si="41"/>
        <v>280.29844674758084</v>
      </c>
      <c r="AE70" s="66">
        <f t="shared" si="41"/>
        <v>521.8098709936376</v>
      </c>
      <c r="AF70" s="66">
        <f t="shared" si="41"/>
        <v>34.34332831967496</v>
      </c>
      <c r="AG70" s="66">
        <f t="shared" si="41"/>
        <v>1693.135417829024</v>
      </c>
      <c r="AH70" s="66">
        <f t="shared" si="41"/>
        <v>236.06064372302333</v>
      </c>
      <c r="AI70" s="66">
        <f t="shared" si="41"/>
        <v>2750.935593891057</v>
      </c>
      <c r="AJ70" s="66">
        <f t="shared" si="41"/>
        <v>150.58586723938458</v>
      </c>
      <c r="AK70" s="66">
        <f t="shared" si="41"/>
        <v>1344.234294063683</v>
      </c>
      <c r="AL70" s="66">
        <f t="shared" si="41"/>
        <v>1020.5020986326687</v>
      </c>
      <c r="AM70" s="66">
        <f t="shared" si="41"/>
        <v>230.3444871660507</v>
      </c>
      <c r="AN70" s="66">
        <f t="shared" si="41"/>
        <v>4081.923956972497</v>
      </c>
      <c r="AO70" s="66">
        <f t="shared" si="41"/>
        <v>851.5222733648948</v>
      </c>
      <c r="AP70" s="66">
        <f t="shared" si="41"/>
        <v>21062.03029765636</v>
      </c>
      <c r="AQ70" s="66">
        <f t="shared" si="41"/>
        <v>18186.35856341822</v>
      </c>
      <c r="AR70" s="66">
        <f t="shared" si="41"/>
        <v>1020.1607759631414</v>
      </c>
      <c r="AS70" s="66">
        <f t="shared" si="41"/>
        <v>889.976018237082</v>
      </c>
      <c r="AT70" s="66">
        <f t="shared" si="41"/>
        <v>773.2768201446771</v>
      </c>
      <c r="AU70" s="66">
        <f t="shared" si="41"/>
        <v>726.9017059895496</v>
      </c>
      <c r="AV70" s="92">
        <f>SUM(Y70:AU70)</f>
        <v>56875.23</v>
      </c>
    </row>
    <row r="71" spans="3:49" ht="17.25" customHeight="1" thickBot="1">
      <c r="C71" s="21" t="s">
        <v>125</v>
      </c>
      <c r="D71" s="37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4"/>
      <c r="Y71" s="93">
        <f aca="true" t="shared" si="42" ref="Y71:AU71">Y66+Y62</f>
        <v>33132.631934756515</v>
      </c>
      <c r="Z71" s="94">
        <f t="shared" si="42"/>
        <v>27782.97317596181</v>
      </c>
      <c r="AA71" s="94">
        <f t="shared" si="42"/>
        <v>23263.508342965786</v>
      </c>
      <c r="AB71" s="94">
        <f t="shared" si="42"/>
        <v>-1911.1018431413404</v>
      </c>
      <c r="AC71" s="94">
        <f t="shared" si="42"/>
        <v>-24248.5936640926</v>
      </c>
      <c r="AD71" s="94">
        <f t="shared" si="42"/>
        <v>-39924.471953183274</v>
      </c>
      <c r="AE71" s="94">
        <f t="shared" si="42"/>
        <v>-2981.154251824337</v>
      </c>
      <c r="AF71" s="94">
        <f t="shared" si="42"/>
        <v>17491.25723542223</v>
      </c>
      <c r="AG71" s="94">
        <f t="shared" si="42"/>
        <v>2587.1072245069117</v>
      </c>
      <c r="AH71" s="94">
        <f t="shared" si="42"/>
        <v>33156.66722236777</v>
      </c>
      <c r="AI71" s="94">
        <f t="shared" si="42"/>
        <v>103082.5366925387</v>
      </c>
      <c r="AJ71" s="94">
        <f t="shared" si="42"/>
        <v>34368.41856081038</v>
      </c>
      <c r="AK71" s="94">
        <f t="shared" si="42"/>
        <v>20336.144039015468</v>
      </c>
      <c r="AL71" s="94">
        <f t="shared" si="42"/>
        <v>-29826.336998075712</v>
      </c>
      <c r="AM71" s="94">
        <f t="shared" si="42"/>
        <v>-96444.07640169682</v>
      </c>
      <c r="AN71" s="94">
        <f t="shared" si="42"/>
        <v>168714.51379087096</v>
      </c>
      <c r="AO71" s="94">
        <f t="shared" si="42"/>
        <v>131341.9341739038</v>
      </c>
      <c r="AP71" s="94">
        <f t="shared" si="42"/>
        <v>207926.21472023719</v>
      </c>
      <c r="AQ71" s="94">
        <f t="shared" si="42"/>
        <v>354989.85899154865</v>
      </c>
      <c r="AR71" s="94">
        <f t="shared" si="42"/>
        <v>69348.31474992081</v>
      </c>
      <c r="AS71" s="94">
        <f t="shared" si="42"/>
        <v>28728.570848452277</v>
      </c>
      <c r="AT71" s="94">
        <f t="shared" si="42"/>
        <v>108278.64912332389</v>
      </c>
      <c r="AU71" s="94">
        <f t="shared" si="42"/>
        <v>-26785.68571458877</v>
      </c>
      <c r="AV71" s="126">
        <f>SUM(Y71:AU71)</f>
        <v>1142407.8800000004</v>
      </c>
      <c r="AW71" s="127" t="s">
        <v>187</v>
      </c>
    </row>
    <row r="72" spans="10:48" ht="17.25" customHeight="1" thickBot="1"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0:49" ht="17.25" customHeight="1" thickBot="1"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 s="103">
        <f>AV37-AV71</f>
        <v>157592.11999999965</v>
      </c>
      <c r="AW73" s="125" t="s">
        <v>186</v>
      </c>
    </row>
    <row r="74" spans="10:48" ht="17.25" customHeight="1"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0:48" ht="17.25" customHeight="1"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0:48" ht="17.25" customHeight="1"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0:49" ht="17.25" customHeight="1"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 s="100"/>
    </row>
    <row r="78" spans="10:48" ht="17.25" customHeight="1"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0:48" ht="17.25" customHeight="1"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0:48" ht="17.25" customHeight="1"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0:48" ht="17.25" customHeight="1"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0:48" ht="17.25" customHeight="1"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0:48" ht="17.25" customHeight="1"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0:48" ht="17.25" customHeight="1"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0:48" ht="17.25" customHeight="1"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0:48" ht="17.25" customHeight="1"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10:48" ht="17.25" customHeight="1"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10:48" ht="17.25" customHeight="1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10:48" ht="17.25" customHeight="1"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0:48" ht="17.25" customHeight="1"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0:48" ht="17.25" customHeight="1"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</sheetData>
  <sheetProtection/>
  <mergeCells count="1">
    <mergeCell ref="V57:X57"/>
  </mergeCells>
  <printOptions gridLines="1"/>
  <pageMargins left="0.2362204724409449" right="0.2362204724409449" top="0.7480314960629921" bottom="0.7480314960629921" header="0.31496062992125984" footer="0.31496062992125984"/>
  <pageSetup firstPageNumber="199" useFirstPageNumber="1" fitToHeight="3" horizontalDpi="600" verticalDpi="600" orientation="landscape" paperSize="8" scale="55" r:id="rId3"/>
  <headerFooter alignWithMargins="0">
    <oddFooter>&amp;LWoon- en Zorgbedrijf Wervik&amp;CCascade 2019&amp;R&amp;P</oddFooter>
  </headerFooter>
  <colBreaks count="2" manualBreakCount="2">
    <brk id="19" max="72" man="1"/>
    <brk id="36" max="7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OCMW Wervik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OCMW Wervik</dc:creator>
  <cp:keywords/>
  <dc:description/>
  <cp:lastModifiedBy>Tom Cuvelier</cp:lastModifiedBy>
  <cp:lastPrinted>2020-05-14T10:24:43Z</cp:lastPrinted>
  <dcterms:created xsi:type="dcterms:W3CDTF">2000-05-08T08:55:11Z</dcterms:created>
  <dcterms:modified xsi:type="dcterms:W3CDTF">2020-05-14T10:24:48Z</dcterms:modified>
  <cp:category/>
  <cp:version/>
  <cp:contentType/>
  <cp:contentStatus/>
</cp:coreProperties>
</file>